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tables/tableSingleCells1.xml" ContentType="application/vnd.openxmlformats-officedocument.spreadsheetml.tableSingleCells+xml"/>
  <Override PartName="/xl/charts/chart1.xml" ContentType="application/vnd.openxmlformats-officedocument.drawingml.chart+xml"/>
  <Override PartName="/xl/drawings/drawing3.xml" ContentType="application/vnd.openxmlformats-officedocument.drawingml.chartshapes+xml"/>
  <Override PartName="/xl/charts/chart2.xml" ContentType="application/vnd.openxmlformats-officedocument.drawingml.chart+xml"/>
  <Override PartName="/xl/drawings/drawing4.xml" ContentType="application/vnd.openxmlformats-officedocument.drawingml.chartshapes+xml"/>
  <Override PartName="/xl/drawings/drawing5.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harts/chart3.xml" ContentType="application/vnd.openxmlformats-officedocument.drawingml.chart+xml"/>
  <Override PartName="/xl/drawings/drawing6.xml" ContentType="application/vnd.openxmlformats-officedocument.drawingml.chartshapes+xml"/>
  <Override PartName="/xl/drawings/drawing7.xml" ContentType="application/vnd.openxmlformats-officedocument.drawing+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harts/chart4.xml" ContentType="application/vnd.openxmlformats-officedocument.drawingml.chart+xml"/>
  <Override PartName="/xl/drawings/drawing8.xml" ContentType="application/vnd.openxmlformats-officedocument.drawing+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harts/chart5.xml" ContentType="application/vnd.openxmlformats-officedocument.drawingml.chart+xml"/>
  <Override PartName="/xl/drawings/drawing9.xml" ContentType="application/vnd.openxmlformats-officedocument.drawingml.chartshapes+xml"/>
  <Override PartName="/xl/charts/chart6.xml" ContentType="application/vnd.openxmlformats-officedocument.drawingml.chart+xml"/>
  <Override PartName="/xl/drawings/drawing10.xml" ContentType="application/vnd.openxmlformats-officedocument.drawingml.chartshapes+xml"/>
  <Override PartName="/xl/drawings/drawing11.xml" ContentType="application/vnd.openxmlformats-officedocument.drawing+xml"/>
  <Override PartName="/xl/embeddings/oleObject1.bin" ContentType="application/vnd.openxmlformats-officedocument.oleObject"/>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harts/chart7.xml" ContentType="application/vnd.openxmlformats-officedocument.drawingml.chart+xml"/>
  <Override PartName="/xl/drawings/drawing12.xml" ContentType="application/vnd.openxmlformats-officedocument.drawingml.chartshapes+xml"/>
  <Override PartName="/xl/charts/chart8.xml" ContentType="application/vnd.openxmlformats-officedocument.drawingml.chart+xml"/>
  <Override PartName="/xl/drawings/drawing13.xml" ContentType="application/vnd.openxmlformats-officedocument.drawingml.chartshapes+xml"/>
  <Override PartName="/xl/drawings/drawing14.xml" ContentType="application/vnd.openxmlformats-officedocument.drawing+xml"/>
  <Override PartName="/xl/drawings/drawing15.xml" ContentType="application/vnd.openxmlformats-officedocument.drawing+xml"/>
  <Override PartName="/xl/charts/chart9.xml" ContentType="application/vnd.openxmlformats-officedocument.drawingml.chart+xml"/>
  <Override PartName="/xl/charts/chart10.xml" ContentType="application/vnd.openxmlformats-officedocument.drawingml.chart+xml"/>
  <Override PartName="/xl/charts/style1.xml" ContentType="application/vnd.ms-office.chartstyle+xml"/>
  <Override PartName="/xl/charts/colors1.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customUI/images/image_word.png" ContentType="image/.png"/>
  <Override PartName="/customUI/images/image_export.png" ContentType="image/.png"/>
  <Override PartName="/customUI/images/image_help.png" ContentType="image/.png"/>
  <Override PartName="/customUI/images/image_cal.png" ContentType="image/.png"/>
  <Override PartName="/customUI/images/image_ini.png" ContentType="image/.png"/>
  <Override PartName="/customUI/images/image_saveas.png" ContentType="image/.png"/>
  <Override PartName="/customUI/images/image_import.png" ContentType="image/.png"/>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50656849640e4323"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730" codeName="{B08E4597-CF32-672E-EC9B-63DB714DCB7F}"/>
  <workbookPr codeName="ThisWorkbook"/>
  <mc:AlternateContent xmlns:mc="http://schemas.openxmlformats.org/markup-compatibility/2006">
    <mc:Choice Requires="x15">
      <x15ac:absPath xmlns:x15ac="http://schemas.microsoft.com/office/spreadsheetml/2010/11/ac" url="https://d.docs.live.net/33cade442ee77d9b/2020/射月沟/2nd/"/>
    </mc:Choice>
  </mc:AlternateContent>
  <xr:revisionPtr revIDLastSave="1" documentId="8_{DA88914A-EC60-4D67-AFF8-0373E8EB4E95}" xr6:coauthVersionLast="45" xr6:coauthVersionMax="45" xr10:uidLastSave="{995693A3-53D0-4496-B033-D83BAD54338D}"/>
  <bookViews>
    <workbookView xWindow="-108" yWindow="-108" windowWidth="30936" windowHeight="16896" tabRatio="593" activeTab="1" xr2:uid="{00000000-000D-0000-FFFF-FFFF00000000}"/>
  </bookViews>
  <sheets>
    <sheet name="Input" sheetId="17" r:id="rId1"/>
    <sheet name="Calculation" sheetId="4" r:id="rId2"/>
    <sheet name="W.H curve" sheetId="6" r:id="rId3"/>
    <sheet name="erosion Calculation" sheetId="18" r:id="rId4"/>
    <sheet name="erosion model" sheetId="12" r:id="rId5"/>
    <sheet name="calculation2" sheetId="15" r:id="rId6"/>
    <sheet name="User Manual" sheetId="3" r:id="rId7"/>
    <sheet name="Sheet1" sheetId="19" r:id="rId8"/>
  </sheets>
  <functionGroups builtInGroupCount="19"/>
  <definedNames>
    <definedName name="solver_eng" localSheetId="3" hidden="1">1</definedName>
    <definedName name="solver_neg" localSheetId="3" hidden="1">1</definedName>
    <definedName name="solver_num" localSheetId="3" hidden="1">0</definedName>
    <definedName name="solver_opt" localSheetId="3" hidden="1">'erosion Calculation'!$D$18</definedName>
    <definedName name="solver_typ" localSheetId="3" hidden="1">1</definedName>
    <definedName name="solver_val" localSheetId="3" hidden="1">0</definedName>
    <definedName name="solver_ver" localSheetId="3" hidden="1">3</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K13" i="19" l="1"/>
  <c r="K14" i="19"/>
  <c r="K15" i="19"/>
  <c r="K16" i="19"/>
  <c r="K17" i="19"/>
  <c r="K18" i="19"/>
  <c r="K19" i="19"/>
  <c r="K20" i="19"/>
  <c r="K21" i="19"/>
  <c r="K22" i="19"/>
  <c r="K23" i="19"/>
  <c r="K24" i="19"/>
  <c r="K25" i="19"/>
  <c r="K26" i="19"/>
  <c r="K27" i="19"/>
  <c r="K28" i="19"/>
  <c r="K29" i="19"/>
  <c r="K30" i="19"/>
  <c r="K12" i="19"/>
  <c r="K11" i="4"/>
  <c r="K10" i="4"/>
  <c r="AC8" i="19"/>
  <c r="N12" i="19"/>
  <c r="J279" i="4" l="1"/>
  <c r="J280" i="4"/>
  <c r="J281" i="4"/>
  <c r="J282" i="4"/>
  <c r="J283" i="4"/>
  <c r="J284" i="4"/>
  <c r="J285" i="4"/>
  <c r="J286" i="4"/>
  <c r="J287" i="4"/>
  <c r="J288" i="4"/>
  <c r="J289" i="4"/>
  <c r="J290" i="4"/>
  <c r="J291" i="4"/>
  <c r="J292" i="4"/>
  <c r="J293" i="4"/>
  <c r="J294" i="4"/>
  <c r="J295" i="4"/>
  <c r="J296" i="4"/>
  <c r="J297" i="4"/>
  <c r="J298" i="4"/>
  <c r="J299" i="4"/>
  <c r="J300" i="4"/>
  <c r="J301" i="4"/>
  <c r="J9" i="17" l="1"/>
  <c r="N17" i="19"/>
  <c r="N14" i="19"/>
  <c r="N15" i="19"/>
  <c r="N16" i="19"/>
  <c r="N13" i="19"/>
  <c r="N18" i="19"/>
  <c r="L13" i="19" l="1"/>
  <c r="L14" i="19"/>
  <c r="L15" i="19"/>
  <c r="L16" i="19"/>
  <c r="L17" i="19"/>
  <c r="L18" i="19"/>
  <c r="L19" i="19"/>
  <c r="L20" i="19"/>
  <c r="L21" i="19"/>
  <c r="L22" i="19"/>
  <c r="L23" i="19"/>
  <c r="L24" i="19"/>
  <c r="L25" i="19"/>
  <c r="L26" i="19"/>
  <c r="L27" i="19"/>
  <c r="L28" i="19"/>
  <c r="L29" i="19"/>
  <c r="L30" i="19"/>
  <c r="L12" i="19"/>
  <c r="O16" i="19"/>
  <c r="O12" i="19"/>
  <c r="O13" i="19"/>
  <c r="O14" i="19"/>
  <c r="O17" i="19"/>
  <c r="O15" i="19"/>
  <c r="O18" i="19"/>
  <c r="N7" i="18" l="1"/>
  <c r="N8" i="18" s="1"/>
  <c r="N6" i="18"/>
  <c r="G40" i="18"/>
  <c r="G39" i="18"/>
  <c r="G38" i="18"/>
  <c r="G37" i="18"/>
  <c r="G36" i="18"/>
  <c r="G35" i="18"/>
  <c r="G34" i="18"/>
  <c r="G33" i="18"/>
  <c r="G32" i="18"/>
  <c r="G31" i="18"/>
  <c r="G30" i="18"/>
  <c r="F31" i="18"/>
  <c r="F32" i="18"/>
  <c r="F33" i="18"/>
  <c r="F34" i="18"/>
  <c r="F35" i="18"/>
  <c r="F36" i="18"/>
  <c r="F37" i="18"/>
  <c r="F38" i="18"/>
  <c r="F39" i="18"/>
  <c r="F40" i="18"/>
  <c r="F30" i="18"/>
  <c r="AE3" i="18" l="1"/>
  <c r="AE4" i="18"/>
  <c r="AE5" i="18"/>
  <c r="AE6" i="18"/>
  <c r="AE7" i="18"/>
  <c r="AE8" i="18"/>
  <c r="AE9" i="18"/>
  <c r="AE10" i="18"/>
  <c r="AE11" i="18"/>
  <c r="AE12" i="18"/>
  <c r="AE2" i="18"/>
  <c r="Y12" i="18"/>
  <c r="AB12" i="18" s="1"/>
  <c r="V12" i="18"/>
  <c r="Z12" i="18" s="1"/>
  <c r="Y11" i="18"/>
  <c r="AB11" i="18" s="1"/>
  <c r="V11" i="18"/>
  <c r="Z11" i="18" s="1"/>
  <c r="Y10" i="18"/>
  <c r="AB10" i="18" s="1"/>
  <c r="V10" i="18"/>
  <c r="Z10" i="18" s="1"/>
  <c r="Y9" i="18"/>
  <c r="AB9" i="18" s="1"/>
  <c r="V9" i="18"/>
  <c r="Z9" i="18" s="1"/>
  <c r="AA9" i="18" s="1"/>
  <c r="Y8" i="18"/>
  <c r="AB8" i="18" s="1"/>
  <c r="V8" i="18"/>
  <c r="Z8" i="18" s="1"/>
  <c r="AF8" i="18" s="1"/>
  <c r="Y7" i="18"/>
  <c r="AB7" i="18" s="1"/>
  <c r="V7" i="18"/>
  <c r="Z7" i="18" s="1"/>
  <c r="Y6" i="18"/>
  <c r="AB6" i="18" s="1"/>
  <c r="V6" i="18"/>
  <c r="Y5" i="18"/>
  <c r="AB5" i="18" s="1"/>
  <c r="V5" i="18"/>
  <c r="Z5" i="18" s="1"/>
  <c r="Y4" i="18"/>
  <c r="AB4" i="18" s="1"/>
  <c r="V4" i="18"/>
  <c r="Z4" i="18" s="1"/>
  <c r="Y3" i="18"/>
  <c r="AB3" i="18" s="1"/>
  <c r="V3" i="18"/>
  <c r="Z3" i="18" s="1"/>
  <c r="AF3" i="18" s="1"/>
  <c r="Y2" i="18"/>
  <c r="AB2" i="18" s="1"/>
  <c r="V2" i="18"/>
  <c r="AF7" i="18" l="1"/>
  <c r="AA7" i="18"/>
  <c r="AC7" i="18" s="1"/>
  <c r="AA11" i="18"/>
  <c r="AC11" i="18" s="1"/>
  <c r="AF11" i="18"/>
  <c r="AA5" i="18"/>
  <c r="AD5" i="18" s="1"/>
  <c r="AF5" i="18"/>
  <c r="AA12" i="18"/>
  <c r="AC12" i="18" s="1"/>
  <c r="AF12" i="18"/>
  <c r="AF10" i="18"/>
  <c r="AA10" i="18"/>
  <c r="AD10" i="18" s="1"/>
  <c r="AF4" i="18"/>
  <c r="AA4" i="18"/>
  <c r="AD4" i="18" s="1"/>
  <c r="AF9" i="18"/>
  <c r="Z2" i="18"/>
  <c r="AF2" i="18" s="1"/>
  <c r="AA8" i="18"/>
  <c r="AC8" i="18" s="1"/>
  <c r="AA3" i="18"/>
  <c r="AC3" i="18" s="1"/>
  <c r="Z6" i="18"/>
  <c r="AF6" i="18" s="1"/>
  <c r="AD9" i="18"/>
  <c r="AC9" i="18"/>
  <c r="AC5" i="18"/>
  <c r="AD3" i="18" l="1"/>
  <c r="AD11" i="18"/>
  <c r="AD8" i="18"/>
  <c r="AD7" i="18"/>
  <c r="AC10" i="18"/>
  <c r="AC4" i="18"/>
  <c r="AA2" i="18"/>
  <c r="AD12" i="18"/>
  <c r="AA6" i="18"/>
  <c r="AD6" i="18" l="1"/>
  <c r="AC6" i="18"/>
  <c r="AD2" i="18"/>
  <c r="AC2" i="18"/>
  <c r="B61" i="4"/>
  <c r="P51" i="4" l="1"/>
  <c r="L51" i="4" l="1"/>
  <c r="D61" i="4" s="1"/>
  <c r="O46" i="4" l="1"/>
  <c r="Z60" i="4" l="1"/>
  <c r="R60" i="4"/>
  <c r="J62" i="4"/>
  <c r="J63" i="4"/>
  <c r="J64" i="4"/>
  <c r="J65" i="4"/>
  <c r="J66" i="4"/>
  <c r="J67" i="4"/>
  <c r="J68" i="4"/>
  <c r="J69" i="4"/>
  <c r="J70" i="4"/>
  <c r="J71" i="4"/>
  <c r="J72" i="4"/>
  <c r="J73" i="4"/>
  <c r="J74" i="4"/>
  <c r="J75" i="4"/>
  <c r="J76" i="4"/>
  <c r="J77" i="4"/>
  <c r="J78" i="4"/>
  <c r="J79" i="4"/>
  <c r="J80" i="4"/>
  <c r="J81" i="4"/>
  <c r="J82" i="4"/>
  <c r="J83" i="4"/>
  <c r="J84" i="4"/>
  <c r="J85" i="4"/>
  <c r="J86" i="4"/>
  <c r="J87" i="4"/>
  <c r="J88" i="4"/>
  <c r="J89" i="4"/>
  <c r="J90" i="4"/>
  <c r="J91" i="4"/>
  <c r="J92" i="4"/>
  <c r="J93" i="4"/>
  <c r="J94" i="4"/>
  <c r="J95" i="4"/>
  <c r="J96" i="4"/>
  <c r="J97" i="4"/>
  <c r="J98" i="4"/>
  <c r="J99" i="4"/>
  <c r="J100" i="4"/>
  <c r="J101" i="4"/>
  <c r="J102" i="4"/>
  <c r="J103" i="4"/>
  <c r="J104" i="4"/>
  <c r="J105" i="4"/>
  <c r="J106" i="4"/>
  <c r="J107" i="4"/>
  <c r="J108" i="4"/>
  <c r="J109" i="4"/>
  <c r="J110" i="4"/>
  <c r="J111" i="4"/>
  <c r="J112" i="4"/>
  <c r="J113" i="4"/>
  <c r="J114" i="4"/>
  <c r="J115" i="4"/>
  <c r="J116" i="4"/>
  <c r="J117" i="4"/>
  <c r="J118" i="4"/>
  <c r="J119" i="4"/>
  <c r="J120" i="4"/>
  <c r="J121" i="4"/>
  <c r="J122" i="4"/>
  <c r="J123" i="4"/>
  <c r="J124" i="4"/>
  <c r="J125" i="4"/>
  <c r="J126" i="4"/>
  <c r="J127" i="4"/>
  <c r="J128" i="4"/>
  <c r="J129" i="4"/>
  <c r="J130" i="4"/>
  <c r="J131" i="4"/>
  <c r="J132" i="4"/>
  <c r="J133" i="4"/>
  <c r="J134" i="4"/>
  <c r="J135" i="4"/>
  <c r="J136" i="4"/>
  <c r="J137" i="4"/>
  <c r="J138" i="4"/>
  <c r="J139" i="4"/>
  <c r="J140" i="4"/>
  <c r="J141" i="4"/>
  <c r="J142" i="4"/>
  <c r="J143" i="4"/>
  <c r="J144" i="4"/>
  <c r="J145" i="4"/>
  <c r="J146" i="4"/>
  <c r="J147" i="4"/>
  <c r="J148" i="4"/>
  <c r="J149" i="4"/>
  <c r="J150" i="4"/>
  <c r="J151" i="4"/>
  <c r="J152" i="4"/>
  <c r="J153" i="4"/>
  <c r="J154" i="4"/>
  <c r="J155" i="4"/>
  <c r="J156" i="4"/>
  <c r="J157" i="4"/>
  <c r="J158" i="4"/>
  <c r="J159" i="4"/>
  <c r="J160" i="4"/>
  <c r="J161" i="4"/>
  <c r="J162" i="4"/>
  <c r="J163" i="4"/>
  <c r="J164" i="4"/>
  <c r="J165" i="4"/>
  <c r="J166" i="4"/>
  <c r="J167" i="4"/>
  <c r="J168" i="4"/>
  <c r="J169" i="4"/>
  <c r="J170" i="4"/>
  <c r="J171" i="4"/>
  <c r="J172" i="4"/>
  <c r="J173" i="4"/>
  <c r="J174" i="4"/>
  <c r="J175" i="4"/>
  <c r="J176" i="4"/>
  <c r="J177" i="4"/>
  <c r="J178" i="4"/>
  <c r="J179" i="4"/>
  <c r="J180" i="4"/>
  <c r="J181" i="4"/>
  <c r="J182" i="4"/>
  <c r="J183" i="4"/>
  <c r="J184" i="4"/>
  <c r="J185" i="4"/>
  <c r="J186" i="4"/>
  <c r="J187" i="4"/>
  <c r="J188" i="4"/>
  <c r="J189" i="4"/>
  <c r="J190" i="4"/>
  <c r="J191" i="4"/>
  <c r="J192" i="4"/>
  <c r="J193" i="4"/>
  <c r="J194" i="4"/>
  <c r="J195" i="4"/>
  <c r="J196" i="4"/>
  <c r="J197" i="4"/>
  <c r="J198" i="4"/>
  <c r="J199" i="4"/>
  <c r="J200" i="4"/>
  <c r="J201" i="4"/>
  <c r="J202" i="4"/>
  <c r="J203" i="4"/>
  <c r="J204" i="4"/>
  <c r="J205" i="4"/>
  <c r="J206" i="4"/>
  <c r="J207" i="4"/>
  <c r="J208" i="4"/>
  <c r="J209" i="4"/>
  <c r="J210" i="4"/>
  <c r="J211" i="4"/>
  <c r="J212" i="4"/>
  <c r="J213" i="4"/>
  <c r="J214" i="4"/>
  <c r="J215" i="4"/>
  <c r="J216" i="4"/>
  <c r="J217" i="4"/>
  <c r="J218" i="4"/>
  <c r="J219" i="4"/>
  <c r="J220" i="4"/>
  <c r="J221" i="4"/>
  <c r="J222" i="4"/>
  <c r="J223" i="4"/>
  <c r="J224" i="4"/>
  <c r="J225" i="4"/>
  <c r="J226" i="4"/>
  <c r="J227" i="4"/>
  <c r="J228" i="4"/>
  <c r="J229" i="4"/>
  <c r="J230" i="4"/>
  <c r="J231" i="4"/>
  <c r="J232" i="4"/>
  <c r="J233" i="4"/>
  <c r="J234" i="4"/>
  <c r="J235" i="4"/>
  <c r="J236" i="4"/>
  <c r="J237" i="4"/>
  <c r="J238" i="4"/>
  <c r="J239" i="4"/>
  <c r="J240" i="4"/>
  <c r="J241" i="4"/>
  <c r="J242" i="4"/>
  <c r="J243" i="4"/>
  <c r="J244" i="4"/>
  <c r="J245" i="4"/>
  <c r="J246" i="4"/>
  <c r="J247" i="4"/>
  <c r="J248" i="4"/>
  <c r="J249" i="4"/>
  <c r="J250" i="4"/>
  <c r="J251" i="4"/>
  <c r="J252" i="4"/>
  <c r="J253" i="4"/>
  <c r="J254" i="4"/>
  <c r="J255" i="4"/>
  <c r="J256" i="4"/>
  <c r="J257" i="4"/>
  <c r="J258" i="4"/>
  <c r="J259" i="4"/>
  <c r="J260" i="4"/>
  <c r="J261" i="4"/>
  <c r="J262" i="4"/>
  <c r="J263" i="4"/>
  <c r="J264" i="4"/>
  <c r="J265" i="4"/>
  <c r="J266" i="4"/>
  <c r="J267" i="4"/>
  <c r="J268" i="4"/>
  <c r="J269" i="4"/>
  <c r="J270" i="4"/>
  <c r="J271" i="4"/>
  <c r="J272" i="4"/>
  <c r="J273" i="4"/>
  <c r="J274" i="4"/>
  <c r="J275" i="4"/>
  <c r="J276" i="4"/>
  <c r="J277" i="4"/>
  <c r="J278" i="4"/>
  <c r="J61" i="4"/>
  <c r="L50" i="4"/>
  <c r="V54" i="4"/>
  <c r="L54" i="4"/>
  <c r="L53" i="4"/>
  <c r="M53" i="4" s="1"/>
  <c r="L55" i="4"/>
  <c r="L52" i="4"/>
  <c r="P52" i="4"/>
  <c r="P53" i="4"/>
  <c r="S51" i="4" s="1"/>
  <c r="E61" i="15"/>
  <c r="F61" i="15" s="1"/>
  <c r="J62" i="15"/>
  <c r="J61" i="15"/>
  <c r="C61" i="15"/>
  <c r="C55" i="15"/>
  <c r="P54" i="15"/>
  <c r="L54" i="15"/>
  <c r="F54" i="15"/>
  <c r="P53" i="15"/>
  <c r="S51" i="15" s="1"/>
  <c r="L53" i="15"/>
  <c r="M53" i="15" s="1"/>
  <c r="F53" i="15"/>
  <c r="C53" i="15"/>
  <c r="P52" i="15"/>
  <c r="L52" i="15"/>
  <c r="F52" i="15"/>
  <c r="C52" i="15"/>
  <c r="P51" i="15"/>
  <c r="S52" i="15" s="1"/>
  <c r="L51" i="15"/>
  <c r="D61" i="15" s="1"/>
  <c r="L61" i="15" s="1"/>
  <c r="U61" i="15" s="1"/>
  <c r="V61" i="15" s="1"/>
  <c r="F51" i="15"/>
  <c r="C51" i="15"/>
  <c r="O25" i="15"/>
  <c r="K25" i="15"/>
  <c r="I25" i="15"/>
  <c r="O24" i="15"/>
  <c r="K24" i="15"/>
  <c r="I24" i="15"/>
  <c r="O23" i="15"/>
  <c r="K23" i="15"/>
  <c r="I23" i="15"/>
  <c r="O22" i="15"/>
  <c r="K22" i="15"/>
  <c r="I22" i="15"/>
  <c r="O21" i="15"/>
  <c r="K21" i="15"/>
  <c r="I21" i="15"/>
  <c r="O20" i="15"/>
  <c r="K20" i="15"/>
  <c r="I20" i="15"/>
  <c r="O19" i="15"/>
  <c r="K19" i="15"/>
  <c r="I19" i="15"/>
  <c r="O18" i="15"/>
  <c r="K18" i="15"/>
  <c r="I18" i="15"/>
  <c r="O16" i="15"/>
  <c r="O15" i="15"/>
  <c r="O14" i="15"/>
  <c r="O13" i="15"/>
  <c r="O12" i="15"/>
  <c r="K11" i="15"/>
  <c r="K12" i="15" s="1"/>
  <c r="K13" i="15" s="1"/>
  <c r="K14" i="15" s="1"/>
  <c r="K15" i="15" s="1"/>
  <c r="K16" i="15" s="1"/>
  <c r="I11" i="15"/>
  <c r="I12" i="15" s="1"/>
  <c r="I13" i="15" s="1"/>
  <c r="I14" i="15" s="1"/>
  <c r="I15" i="15" s="1"/>
  <c r="I16" i="15" s="1"/>
  <c r="J10" i="15"/>
  <c r="H55" i="15"/>
  <c r="F55" i="12"/>
  <c r="E55" i="12"/>
  <c r="D55" i="12"/>
  <c r="C55" i="12"/>
  <c r="F54" i="12"/>
  <c r="E54" i="12"/>
  <c r="D54" i="12"/>
  <c r="C54" i="12"/>
  <c r="F53" i="12"/>
  <c r="E53" i="12"/>
  <c r="D53" i="12"/>
  <c r="C53" i="12"/>
  <c r="F52" i="12"/>
  <c r="E52" i="12"/>
  <c r="D52" i="12"/>
  <c r="C52" i="12"/>
  <c r="F51" i="12"/>
  <c r="E51" i="12"/>
  <c r="D51" i="12"/>
  <c r="C51" i="12"/>
  <c r="F50" i="12"/>
  <c r="E50" i="12"/>
  <c r="D50" i="12"/>
  <c r="C50" i="12"/>
  <c r="F49" i="12"/>
  <c r="E49" i="12"/>
  <c r="D49" i="12"/>
  <c r="C49" i="12"/>
  <c r="F48" i="12"/>
  <c r="E48" i="12"/>
  <c r="D48" i="12"/>
  <c r="C48" i="12"/>
  <c r="F47" i="12"/>
  <c r="E47" i="12"/>
  <c r="D47" i="12"/>
  <c r="C47" i="12"/>
  <c r="F46" i="12"/>
  <c r="E46" i="12"/>
  <c r="D46" i="12"/>
  <c r="C46" i="12"/>
  <c r="F45" i="12"/>
  <c r="E45" i="12"/>
  <c r="D45" i="12"/>
  <c r="C45" i="12"/>
  <c r="F44" i="12"/>
  <c r="E44" i="12"/>
  <c r="D44" i="12"/>
  <c r="C44" i="12"/>
  <c r="F43" i="12"/>
  <c r="E43" i="12"/>
  <c r="D43" i="12"/>
  <c r="C43" i="12"/>
  <c r="F42" i="12"/>
  <c r="E42" i="12"/>
  <c r="D42" i="12"/>
  <c r="C42" i="12"/>
  <c r="F41" i="12"/>
  <c r="E41" i="12"/>
  <c r="D41" i="12"/>
  <c r="C41" i="12"/>
  <c r="F40" i="12"/>
  <c r="E40" i="12"/>
  <c r="D40" i="12"/>
  <c r="C40" i="12"/>
  <c r="F39" i="12"/>
  <c r="E39" i="12"/>
  <c r="D39" i="12"/>
  <c r="C39" i="12"/>
  <c r="F38" i="12"/>
  <c r="E38" i="12"/>
  <c r="D38" i="12"/>
  <c r="C38" i="12"/>
  <c r="F37" i="12"/>
  <c r="E37" i="12"/>
  <c r="D37" i="12"/>
  <c r="C37" i="12"/>
  <c r="F36" i="12"/>
  <c r="E36" i="12"/>
  <c r="D36" i="12"/>
  <c r="C36" i="12"/>
  <c r="F35" i="12"/>
  <c r="E35" i="12"/>
  <c r="D35" i="12"/>
  <c r="C35" i="12"/>
  <c r="F34" i="12"/>
  <c r="E34" i="12"/>
  <c r="D34" i="12"/>
  <c r="C34" i="12"/>
  <c r="F33" i="12"/>
  <c r="E33" i="12"/>
  <c r="D33" i="12"/>
  <c r="C33" i="12"/>
  <c r="F32" i="12"/>
  <c r="E32" i="12"/>
  <c r="D32" i="12"/>
  <c r="C32" i="12"/>
  <c r="F31" i="12"/>
  <c r="E31" i="12"/>
  <c r="D31" i="12"/>
  <c r="C31" i="12"/>
  <c r="F30" i="12"/>
  <c r="E30" i="12"/>
  <c r="D30" i="12"/>
  <c r="C30" i="12"/>
  <c r="F29" i="12"/>
  <c r="E29" i="12"/>
  <c r="D29" i="12"/>
  <c r="C29" i="12"/>
  <c r="D32" i="6"/>
  <c r="B32" i="6"/>
  <c r="C32" i="6" s="1"/>
  <c r="D31" i="6"/>
  <c r="B31" i="6"/>
  <c r="C31" i="6" s="1"/>
  <c r="D30" i="6"/>
  <c r="B30" i="6"/>
  <c r="C30" i="6" s="1"/>
  <c r="N8" i="6"/>
  <c r="N7" i="6"/>
  <c r="N6" i="6"/>
  <c r="C55" i="4"/>
  <c r="P54" i="4"/>
  <c r="C53" i="4"/>
  <c r="C52" i="4"/>
  <c r="F51" i="4"/>
  <c r="B25" i="12"/>
  <c r="C32" i="15"/>
  <c r="S53" i="4" l="1"/>
  <c r="S52" i="4"/>
  <c r="F52" i="4"/>
  <c r="F53" i="4"/>
  <c r="F54" i="4"/>
  <c r="X54" i="4"/>
  <c r="AA54" i="4" s="1"/>
  <c r="L61" i="4"/>
  <c r="M61" i="4" s="1"/>
  <c r="S54" i="15"/>
  <c r="S54" i="4"/>
  <c r="S53" i="15"/>
  <c r="M61" i="15"/>
  <c r="S55" i="15" l="1"/>
  <c r="S55" i="4"/>
  <c r="C61" i="4"/>
  <c r="C51" i="4"/>
  <c r="G55" i="4"/>
  <c r="F55" i="4"/>
  <c r="T51" i="4"/>
  <c r="U61" i="4"/>
  <c r="V61" i="4" s="1"/>
  <c r="B61" i="15"/>
  <c r="W61" i="15" s="1"/>
  <c r="X61" i="15" s="1"/>
  <c r="T51" i="15"/>
  <c r="O61" i="15"/>
  <c r="I61" i="4" l="1"/>
  <c r="N61" i="4"/>
  <c r="P61" i="4"/>
  <c r="Y61" i="4"/>
  <c r="E61" i="4"/>
  <c r="F61" i="4" s="1"/>
  <c r="H55" i="4"/>
  <c r="W61" i="4"/>
  <c r="Y61" i="15"/>
  <c r="P61" i="15"/>
  <c r="I61" i="15"/>
  <c r="N61" i="15"/>
  <c r="Q61" i="15" s="1"/>
  <c r="Z61" i="15"/>
  <c r="R61" i="15"/>
  <c r="G61" i="4" l="1"/>
  <c r="Q61" i="4"/>
  <c r="X61" i="4"/>
  <c r="G61" i="15"/>
  <c r="L60" i="15"/>
  <c r="P60" i="15"/>
  <c r="AA61" i="15"/>
  <c r="S61" i="15"/>
  <c r="T61" i="15" s="1"/>
  <c r="M60" i="15"/>
  <c r="M60" i="4"/>
  <c r="H62" i="15"/>
  <c r="Z61" i="4"/>
  <c r="AC61" i="15"/>
  <c r="R61" i="4"/>
  <c r="O61" i="4"/>
  <c r="O62" i="4"/>
  <c r="P60" i="4" l="1"/>
  <c r="L60" i="4"/>
  <c r="N60" i="4" s="1"/>
  <c r="AA61" i="4"/>
  <c r="S61" i="4"/>
  <c r="T61" i="4" s="1"/>
  <c r="N60" i="15"/>
  <c r="AD61" i="15"/>
  <c r="AE61" i="15" s="1"/>
  <c r="AG61" i="15"/>
  <c r="C62" i="15" s="1"/>
  <c r="AI61" i="15"/>
  <c r="AJ61" i="15" s="1"/>
  <c r="AF61" i="15"/>
  <c r="K62" i="15"/>
  <c r="AC61" i="4"/>
  <c r="H62" i="4"/>
  <c r="K62" i="4" l="1"/>
  <c r="AF61" i="4"/>
  <c r="B62" i="4" s="1"/>
  <c r="AD61" i="4"/>
  <c r="AE61" i="4" s="1"/>
  <c r="AG61" i="4"/>
  <c r="C62" i="4" s="1"/>
  <c r="AI61" i="4"/>
  <c r="AL62" i="4" s="1"/>
  <c r="AH61" i="15"/>
  <c r="D62" i="15" s="1"/>
  <c r="L62" i="15" s="1"/>
  <c r="M62" i="15" s="1"/>
  <c r="B62" i="15"/>
  <c r="I62" i="15" s="1"/>
  <c r="O63" i="4"/>
  <c r="E62" i="15"/>
  <c r="O62" i="15"/>
  <c r="AK62" i="4" l="1"/>
  <c r="AJ61" i="4"/>
  <c r="I62" i="4"/>
  <c r="AH61" i="4"/>
  <c r="D62" i="4" s="1"/>
  <c r="U62" i="15"/>
  <c r="V62" i="15" s="1"/>
  <c r="W62" i="15" s="1"/>
  <c r="F62" i="15"/>
  <c r="P62" i="15"/>
  <c r="N62" i="15"/>
  <c r="R62" i="15"/>
  <c r="E62" i="4"/>
  <c r="L62" i="4" l="1"/>
  <c r="U62" i="4" s="1"/>
  <c r="V62" i="4" s="1"/>
  <c r="W62" i="4" s="1"/>
  <c r="F62" i="4"/>
  <c r="Y62" i="15"/>
  <c r="X62" i="15"/>
  <c r="Q62" i="15"/>
  <c r="S62" i="15" s="1"/>
  <c r="G62" i="15"/>
  <c r="H63" i="15"/>
  <c r="Z62" i="15"/>
  <c r="M62" i="4" l="1"/>
  <c r="P62" i="4" s="1"/>
  <c r="X62" i="4"/>
  <c r="Y62" i="4"/>
  <c r="AA62" i="15"/>
  <c r="AB62" i="15" s="1"/>
  <c r="J63" i="15"/>
  <c r="T62" i="15"/>
  <c r="K63" i="15"/>
  <c r="Z62" i="4"/>
  <c r="R62" i="4"/>
  <c r="AC62" i="15"/>
  <c r="AD62" i="15" l="1"/>
  <c r="AE62" i="15" s="1"/>
  <c r="AI62" i="15"/>
  <c r="AL62" i="15" s="1"/>
  <c r="AF62" i="15"/>
  <c r="B63" i="15" s="1"/>
  <c r="AG62" i="15"/>
  <c r="C63" i="15" s="1"/>
  <c r="AA62" i="4"/>
  <c r="AB62" i="4" s="1"/>
  <c r="N62" i="4"/>
  <c r="Q62" i="4" s="1"/>
  <c r="S62" i="4" s="1"/>
  <c r="T62" i="4" s="1"/>
  <c r="H63" i="4"/>
  <c r="AC62" i="4"/>
  <c r="O63" i="15"/>
  <c r="AK62" i="15" l="1"/>
  <c r="AJ62" i="15"/>
  <c r="AH62" i="15"/>
  <c r="D63" i="15" s="1"/>
  <c r="U63" i="15" s="1"/>
  <c r="V63" i="15" s="1"/>
  <c r="G62" i="4"/>
  <c r="K63" i="4"/>
  <c r="AD62" i="4"/>
  <c r="AE62" i="4" s="1"/>
  <c r="AI62" i="4"/>
  <c r="AJ62" i="4" s="1"/>
  <c r="AF62" i="4"/>
  <c r="AG62" i="4"/>
  <c r="C63" i="4" s="1"/>
  <c r="I63" i="15"/>
  <c r="E63" i="15"/>
  <c r="L63" i="15" l="1"/>
  <c r="M63" i="15" s="1"/>
  <c r="AL63" i="4"/>
  <c r="AH62" i="4"/>
  <c r="D63" i="4" s="1"/>
  <c r="B63" i="4"/>
  <c r="AK63" i="4"/>
  <c r="F63" i="15"/>
  <c r="N63" i="15"/>
  <c r="P63" i="15"/>
  <c r="W63" i="15"/>
  <c r="Y63" i="15"/>
  <c r="Z63" i="15"/>
  <c r="O64" i="4"/>
  <c r="R63" i="15"/>
  <c r="L63" i="4" l="1"/>
  <c r="U63" i="4" s="1"/>
  <c r="V63" i="4" s="1"/>
  <c r="Y63" i="4" s="1"/>
  <c r="I63" i="4"/>
  <c r="X63" i="15"/>
  <c r="AA63" i="15" s="1"/>
  <c r="AB63" i="15" s="1"/>
  <c r="Q63" i="15"/>
  <c r="S63" i="15" s="1"/>
  <c r="G63" i="15"/>
  <c r="E63" i="4"/>
  <c r="H64" i="15"/>
  <c r="AC63" i="15"/>
  <c r="Z63" i="4"/>
  <c r="W63" i="4" l="1"/>
  <c r="M63" i="4"/>
  <c r="P63" i="4" s="1"/>
  <c r="F63" i="4"/>
  <c r="J64" i="15"/>
  <c r="AF63" i="15"/>
  <c r="AI63" i="15"/>
  <c r="AD63" i="15"/>
  <c r="AE63" i="15" s="1"/>
  <c r="AG63" i="15"/>
  <c r="C64" i="15" s="1"/>
  <c r="K64" i="15"/>
  <c r="T63" i="15"/>
  <c r="R63" i="4"/>
  <c r="X63" i="4" l="1"/>
  <c r="AA63" i="4" s="1"/>
  <c r="AB63" i="4" s="1"/>
  <c r="N63" i="4"/>
  <c r="G63" i="4" s="1"/>
  <c r="AK63" i="15"/>
  <c r="AL63" i="15"/>
  <c r="AJ63" i="15"/>
  <c r="B64" i="15"/>
  <c r="AH63" i="15"/>
  <c r="D64" i="15" s="1"/>
  <c r="O64" i="15"/>
  <c r="Q63" i="4" l="1"/>
  <c r="S63" i="4" s="1"/>
  <c r="I64" i="15"/>
  <c r="U64" i="15"/>
  <c r="V64" i="15" s="1"/>
  <c r="L64" i="15"/>
  <c r="M64" i="15" s="1"/>
  <c r="E64" i="15"/>
  <c r="AC63" i="4"/>
  <c r="H64" i="4"/>
  <c r="K64" i="4" l="1"/>
  <c r="AG63" i="4"/>
  <c r="C64" i="4" s="1"/>
  <c r="AD63" i="4"/>
  <c r="AE63" i="4" s="1"/>
  <c r="AF63" i="4"/>
  <c r="AI63" i="4"/>
  <c r="AJ63" i="4" s="1"/>
  <c r="T63" i="4"/>
  <c r="F64" i="15"/>
  <c r="N64" i="15"/>
  <c r="P64" i="15"/>
  <c r="W64" i="15"/>
  <c r="Y64" i="15"/>
  <c r="Z64" i="15"/>
  <c r="R64" i="15"/>
  <c r="AH63" i="4" l="1"/>
  <c r="D64" i="4" s="1"/>
  <c r="L64" i="4" s="1"/>
  <c r="U64" i="4" s="1"/>
  <c r="V64" i="4" s="1"/>
  <c r="AK64" i="4"/>
  <c r="B64" i="4"/>
  <c r="AL64" i="4"/>
  <c r="X64" i="15"/>
  <c r="AA64" i="15" s="1"/>
  <c r="AB64" i="15" s="1"/>
  <c r="Q64" i="15"/>
  <c r="S64" i="15" s="1"/>
  <c r="G64" i="15"/>
  <c r="AC64" i="15"/>
  <c r="O65" i="4"/>
  <c r="H65" i="15"/>
  <c r="Y64" i="4" l="1"/>
  <c r="W64" i="4"/>
  <c r="M64" i="4"/>
  <c r="P64" i="4" s="1"/>
  <c r="I64" i="4"/>
  <c r="J65" i="15"/>
  <c r="AI64" i="15"/>
  <c r="AD64" i="15"/>
  <c r="AE64" i="15" s="1"/>
  <c r="AF64" i="15"/>
  <c r="AG64" i="15"/>
  <c r="C65" i="15" s="1"/>
  <c r="T64" i="15"/>
  <c r="K65" i="15"/>
  <c r="Z64" i="4"/>
  <c r="R64" i="4"/>
  <c r="E64" i="4"/>
  <c r="N64" i="4" l="1"/>
  <c r="Q64" i="4" s="1"/>
  <c r="S64" i="4" s="1"/>
  <c r="F64" i="4"/>
  <c r="AH64" i="15"/>
  <c r="D65" i="15" s="1"/>
  <c r="B65" i="15"/>
  <c r="AJ64" i="15"/>
  <c r="AK64" i="15"/>
  <c r="AL64" i="15"/>
  <c r="H65" i="4"/>
  <c r="AC64" i="4"/>
  <c r="O65" i="15"/>
  <c r="G64" i="4" l="1"/>
  <c r="X64" i="4"/>
  <c r="AA64" i="4" s="1"/>
  <c r="AB64" i="4" s="1"/>
  <c r="I65" i="15"/>
  <c r="U65" i="15"/>
  <c r="V65" i="15" s="1"/>
  <c r="L65" i="15"/>
  <c r="M65" i="15" s="1"/>
  <c r="AI64" i="4"/>
  <c r="AJ64" i="4" s="1"/>
  <c r="AF64" i="4"/>
  <c r="B65" i="4" s="1"/>
  <c r="AD64" i="4"/>
  <c r="AE64" i="4" s="1"/>
  <c r="AG64" i="4"/>
  <c r="C65" i="4" s="1"/>
  <c r="K65" i="4"/>
  <c r="T64" i="4"/>
  <c r="E65" i="15"/>
  <c r="O66" i="4"/>
  <c r="F65" i="15" l="1"/>
  <c r="N65" i="15"/>
  <c r="P65" i="15"/>
  <c r="W65" i="15"/>
  <c r="Y65" i="15"/>
  <c r="AH64" i="4"/>
  <c r="D65" i="4" s="1"/>
  <c r="L65" i="4" s="1"/>
  <c r="U65" i="4" s="1"/>
  <c r="V65" i="4" s="1"/>
  <c r="AK65" i="4"/>
  <c r="AL65" i="4"/>
  <c r="I65" i="4"/>
  <c r="Z65" i="15"/>
  <c r="E65" i="4"/>
  <c r="R65" i="15"/>
  <c r="X65" i="15" l="1"/>
  <c r="AA65" i="15" s="1"/>
  <c r="AB65" i="15" s="1"/>
  <c r="Q65" i="15"/>
  <c r="S65" i="15" s="1"/>
  <c r="G65" i="15"/>
  <c r="F65" i="4"/>
  <c r="W65" i="4"/>
  <c r="Y65" i="4"/>
  <c r="M65" i="4"/>
  <c r="AC65" i="15"/>
  <c r="Z65" i="4"/>
  <c r="H66" i="15"/>
  <c r="J66" i="15" l="1"/>
  <c r="AG65" i="15"/>
  <c r="C66" i="15" s="1"/>
  <c r="AD65" i="15"/>
  <c r="AE65" i="15" s="1"/>
  <c r="AF65" i="15"/>
  <c r="AI65" i="15"/>
  <c r="K66" i="15"/>
  <c r="T65" i="15"/>
  <c r="X65" i="4"/>
  <c r="AA65" i="4" s="1"/>
  <c r="AB65" i="4" s="1"/>
  <c r="P65" i="4"/>
  <c r="N65" i="4"/>
  <c r="G65" i="4" s="1"/>
  <c r="R65" i="4"/>
  <c r="B66" i="15" l="1"/>
  <c r="AH65" i="15"/>
  <c r="D66" i="15" s="1"/>
  <c r="AL65" i="15"/>
  <c r="AK65" i="15"/>
  <c r="AJ65" i="15"/>
  <c r="Q65" i="4"/>
  <c r="S65" i="4" s="1"/>
  <c r="AC65" i="4"/>
  <c r="H66" i="4"/>
  <c r="O66" i="15"/>
  <c r="U66" i="15" l="1"/>
  <c r="V66" i="15" s="1"/>
  <c r="L66" i="15"/>
  <c r="M66" i="15" s="1"/>
  <c r="I66" i="15"/>
  <c r="K66" i="4"/>
  <c r="AD65" i="4"/>
  <c r="AE65" i="4" s="1"/>
  <c r="AF65" i="4"/>
  <c r="B66" i="4" s="1"/>
  <c r="AG65" i="4"/>
  <c r="C66" i="4" s="1"/>
  <c r="AI65" i="4"/>
  <c r="AJ65" i="4" s="1"/>
  <c r="T65" i="4"/>
  <c r="O67" i="4"/>
  <c r="E66" i="15"/>
  <c r="F66" i="15" l="1"/>
  <c r="P66" i="15"/>
  <c r="N66" i="15"/>
  <c r="W66" i="15"/>
  <c r="Y66" i="15"/>
  <c r="I66" i="4"/>
  <c r="AH65" i="4"/>
  <c r="D66" i="4" s="1"/>
  <c r="L66" i="4" s="1"/>
  <c r="AL66" i="4"/>
  <c r="AK66" i="4"/>
  <c r="Z66" i="15"/>
  <c r="R66" i="15"/>
  <c r="E66" i="4"/>
  <c r="X66" i="15" l="1"/>
  <c r="AA66" i="15" s="1"/>
  <c r="AB66" i="15" s="1"/>
  <c r="Q66" i="15"/>
  <c r="S66" i="15" s="1"/>
  <c r="G66" i="15"/>
  <c r="F66" i="4"/>
  <c r="U66" i="4"/>
  <c r="V66" i="4" s="1"/>
  <c r="M66" i="4"/>
  <c r="AC66" i="15"/>
  <c r="H67" i="15"/>
  <c r="J67" i="15" l="1"/>
  <c r="AG66" i="15"/>
  <c r="C67" i="15" s="1"/>
  <c r="AF66" i="15"/>
  <c r="AI66" i="15"/>
  <c r="AD66" i="15"/>
  <c r="AE66" i="15" s="1"/>
  <c r="T66" i="15"/>
  <c r="K67" i="15"/>
  <c r="Y66" i="4"/>
  <c r="W66" i="4"/>
  <c r="X66" i="4" s="1"/>
  <c r="N66" i="4"/>
  <c r="P66" i="4"/>
  <c r="R66" i="4"/>
  <c r="Z66" i="4"/>
  <c r="B67" i="15" l="1"/>
  <c r="AH66" i="15"/>
  <c r="D67" i="15" s="1"/>
  <c r="AL66" i="15"/>
  <c r="AK66" i="15"/>
  <c r="AJ66" i="15"/>
  <c r="G66" i="4"/>
  <c r="Q66" i="4"/>
  <c r="S66" i="4" s="1"/>
  <c r="AA66" i="4"/>
  <c r="AB66" i="4" s="1"/>
  <c r="O67" i="15"/>
  <c r="AC66" i="4"/>
  <c r="H67" i="4"/>
  <c r="U67" i="15" l="1"/>
  <c r="V67" i="15" s="1"/>
  <c r="L67" i="15"/>
  <c r="M67" i="15" s="1"/>
  <c r="I67" i="15"/>
  <c r="K67" i="4"/>
  <c r="AF66" i="4"/>
  <c r="AD66" i="4"/>
  <c r="AE66" i="4" s="1"/>
  <c r="AG66" i="4"/>
  <c r="C67" i="4" s="1"/>
  <c r="AI66" i="4"/>
  <c r="AJ66" i="4" s="1"/>
  <c r="T66" i="4"/>
  <c r="E67" i="15"/>
  <c r="F67" i="15" l="1"/>
  <c r="N67" i="15"/>
  <c r="P67" i="15"/>
  <c r="Y67" i="15"/>
  <c r="W67" i="15"/>
  <c r="X67" i="15" s="1"/>
  <c r="AL67" i="4"/>
  <c r="AK67" i="4"/>
  <c r="B67" i="4"/>
  <c r="AH66" i="4"/>
  <c r="D67" i="4" s="1"/>
  <c r="Z67" i="15"/>
  <c r="R67" i="15"/>
  <c r="O68" i="4"/>
  <c r="Q67" i="15" l="1"/>
  <c r="S67" i="15" s="1"/>
  <c r="AA67" i="15"/>
  <c r="AB67" i="15" s="1"/>
  <c r="G67" i="15"/>
  <c r="I67" i="4"/>
  <c r="L67" i="4"/>
  <c r="U67" i="4" s="1"/>
  <c r="V67" i="4" s="1"/>
  <c r="AC67" i="15"/>
  <c r="H68" i="15"/>
  <c r="E67" i="4"/>
  <c r="J68" i="15" l="1"/>
  <c r="AG67" i="15"/>
  <c r="C68" i="15" s="1"/>
  <c r="AI67" i="15"/>
  <c r="AD67" i="15"/>
  <c r="AE67" i="15" s="1"/>
  <c r="AF67" i="15"/>
  <c r="T67" i="15"/>
  <c r="K68" i="15"/>
  <c r="F67" i="4"/>
  <c r="W67" i="4"/>
  <c r="Y67" i="4"/>
  <c r="M67" i="4"/>
  <c r="Z67" i="4"/>
  <c r="AK67" i="15" l="1"/>
  <c r="AJ67" i="15"/>
  <c r="AL67" i="15"/>
  <c r="B68" i="15"/>
  <c r="AH67" i="15"/>
  <c r="D68" i="15" s="1"/>
  <c r="N67" i="4"/>
  <c r="G67" i="4" s="1"/>
  <c r="P67" i="4"/>
  <c r="X67" i="4"/>
  <c r="AA67" i="4" s="1"/>
  <c r="AB67" i="4" s="1"/>
  <c r="O68" i="15"/>
  <c r="R67" i="4"/>
  <c r="I68" i="15" l="1"/>
  <c r="U68" i="15"/>
  <c r="V68" i="15" s="1"/>
  <c r="L68" i="15"/>
  <c r="M68" i="15" s="1"/>
  <c r="Q67" i="4"/>
  <c r="S67" i="4" s="1"/>
  <c r="E68" i="15"/>
  <c r="AC67" i="4"/>
  <c r="H68" i="4"/>
  <c r="F68" i="15" l="1"/>
  <c r="P68" i="15"/>
  <c r="N68" i="15"/>
  <c r="Y68" i="15"/>
  <c r="W68" i="15"/>
  <c r="X68" i="15" s="1"/>
  <c r="K68" i="4"/>
  <c r="AD67" i="4"/>
  <c r="AE67" i="4" s="1"/>
  <c r="AF67" i="4"/>
  <c r="AI67" i="4"/>
  <c r="AJ67" i="4" s="1"/>
  <c r="AG67" i="4"/>
  <c r="C68" i="4" s="1"/>
  <c r="T67" i="4"/>
  <c r="Z68" i="15"/>
  <c r="R68" i="15"/>
  <c r="Q68" i="15" l="1"/>
  <c r="S68" i="15" s="1"/>
  <c r="AA68" i="15"/>
  <c r="AB68" i="15" s="1"/>
  <c r="G68" i="15"/>
  <c r="AK68" i="4"/>
  <c r="B68" i="4"/>
  <c r="AH67" i="4"/>
  <c r="D68" i="4" s="1"/>
  <c r="AL68" i="4"/>
  <c r="H69" i="15"/>
  <c r="O69" i="4"/>
  <c r="AC68" i="15"/>
  <c r="J69" i="15" l="1"/>
  <c r="AI68" i="15"/>
  <c r="AD68" i="15"/>
  <c r="AE68" i="15" s="1"/>
  <c r="AG68" i="15"/>
  <c r="C69" i="15" s="1"/>
  <c r="AF68" i="15"/>
  <c r="T68" i="15"/>
  <c r="K69" i="15"/>
  <c r="I68" i="4"/>
  <c r="L68" i="4"/>
  <c r="U68" i="4" s="1"/>
  <c r="V68" i="4" s="1"/>
  <c r="E68" i="4"/>
  <c r="AL68" i="15" l="1"/>
  <c r="AK68" i="15"/>
  <c r="AJ68" i="15"/>
  <c r="AH68" i="15"/>
  <c r="D69" i="15" s="1"/>
  <c r="B69" i="15"/>
  <c r="F68" i="4"/>
  <c r="W68" i="4"/>
  <c r="Y68" i="4"/>
  <c r="M68" i="4"/>
  <c r="Z68" i="4"/>
  <c r="O69" i="15"/>
  <c r="U69" i="15" l="1"/>
  <c r="V69" i="15" s="1"/>
  <c r="L69" i="15"/>
  <c r="M69" i="15" s="1"/>
  <c r="I69" i="15"/>
  <c r="X68" i="4"/>
  <c r="AA68" i="4" s="1"/>
  <c r="AB68" i="4" s="1"/>
  <c r="N68" i="4"/>
  <c r="P68" i="4"/>
  <c r="E69" i="15"/>
  <c r="R68" i="4"/>
  <c r="F69" i="15" l="1"/>
  <c r="P69" i="15"/>
  <c r="N69" i="15"/>
  <c r="Y69" i="15"/>
  <c r="W69" i="15"/>
  <c r="X69" i="15" s="1"/>
  <c r="G68" i="4"/>
  <c r="Q68" i="4"/>
  <c r="S68" i="4" s="1"/>
  <c r="Z69" i="15"/>
  <c r="H69" i="4"/>
  <c r="AC68" i="4"/>
  <c r="R69" i="15"/>
  <c r="Q69" i="15" l="1"/>
  <c r="S69" i="15" s="1"/>
  <c r="AA69" i="15"/>
  <c r="AB69" i="15" s="1"/>
  <c r="G69" i="15"/>
  <c r="K69" i="4"/>
  <c r="AD68" i="4"/>
  <c r="AE68" i="4" s="1"/>
  <c r="AG68" i="4"/>
  <c r="C69" i="4" s="1"/>
  <c r="AF68" i="4"/>
  <c r="AI68" i="4"/>
  <c r="AJ68" i="4" s="1"/>
  <c r="T68" i="4"/>
  <c r="H70" i="15"/>
  <c r="AC69" i="15"/>
  <c r="J70" i="15" l="1"/>
  <c r="AI69" i="15"/>
  <c r="AD69" i="15"/>
  <c r="AE69" i="15" s="1"/>
  <c r="AG69" i="15"/>
  <c r="C70" i="15" s="1"/>
  <c r="AF69" i="15"/>
  <c r="T69" i="15"/>
  <c r="K70" i="15"/>
  <c r="AL69" i="4"/>
  <c r="AK69" i="4"/>
  <c r="AH68" i="4"/>
  <c r="D69" i="4" s="1"/>
  <c r="B69" i="4"/>
  <c r="O70" i="4"/>
  <c r="AK69" i="15" l="1"/>
  <c r="AL69" i="15"/>
  <c r="AJ69" i="15"/>
  <c r="B70" i="15"/>
  <c r="AH69" i="15"/>
  <c r="D70" i="15" s="1"/>
  <c r="I69" i="4"/>
  <c r="L69" i="4"/>
  <c r="U69" i="4" s="1"/>
  <c r="V69" i="4" s="1"/>
  <c r="E69" i="4"/>
  <c r="O70" i="15"/>
  <c r="I70" i="15" l="1"/>
  <c r="U70" i="15"/>
  <c r="V70" i="15" s="1"/>
  <c r="L70" i="15"/>
  <c r="M70" i="15" s="1"/>
  <c r="F69" i="4"/>
  <c r="Y69" i="4"/>
  <c r="W69" i="4"/>
  <c r="M69" i="4"/>
  <c r="Z69" i="4"/>
  <c r="E70" i="15"/>
  <c r="N69" i="4" l="1"/>
  <c r="Q69" i="4" s="1"/>
  <c r="F70" i="15"/>
  <c r="N70" i="15"/>
  <c r="P70" i="15"/>
  <c r="Y70" i="15"/>
  <c r="W70" i="15"/>
  <c r="X69" i="4"/>
  <c r="AA69" i="4" s="1"/>
  <c r="AB69" i="4" s="1"/>
  <c r="P69" i="4"/>
  <c r="Z70" i="15"/>
  <c r="R70" i="15"/>
  <c r="R69" i="4"/>
  <c r="G69" i="4" l="1"/>
  <c r="S69" i="4"/>
  <c r="X70" i="15"/>
  <c r="AA70" i="15" s="1"/>
  <c r="AB70" i="15" s="1"/>
  <c r="Q70" i="15"/>
  <c r="S70" i="15" s="1"/>
  <c r="G70" i="15"/>
  <c r="H70" i="4"/>
  <c r="AC70" i="15"/>
  <c r="AC69" i="4"/>
  <c r="H71" i="15"/>
  <c r="J71" i="15" l="1"/>
  <c r="AF70" i="15"/>
  <c r="AD70" i="15"/>
  <c r="AE70" i="15" s="1"/>
  <c r="AI70" i="15"/>
  <c r="AG70" i="15"/>
  <c r="C71" i="15" s="1"/>
  <c r="T70" i="15"/>
  <c r="K71" i="15"/>
  <c r="K70" i="4"/>
  <c r="AD69" i="4"/>
  <c r="AE69" i="4" s="1"/>
  <c r="AI69" i="4"/>
  <c r="AJ69" i="4" s="1"/>
  <c r="AG69" i="4"/>
  <c r="C70" i="4" s="1"/>
  <c r="AF69" i="4"/>
  <c r="B70" i="4" s="1"/>
  <c r="T69" i="4"/>
  <c r="O71" i="4"/>
  <c r="AJ70" i="15" l="1"/>
  <c r="AL70" i="15"/>
  <c r="AK70" i="15"/>
  <c r="B71" i="15"/>
  <c r="AH70" i="15"/>
  <c r="D71" i="15" s="1"/>
  <c r="I70" i="4"/>
  <c r="AL70" i="4"/>
  <c r="AH69" i="4"/>
  <c r="D70" i="4" s="1"/>
  <c r="AK70" i="4"/>
  <c r="O71" i="15"/>
  <c r="E70" i="4"/>
  <c r="I71" i="15" l="1"/>
  <c r="U71" i="15"/>
  <c r="V71" i="15" s="1"/>
  <c r="L71" i="15"/>
  <c r="M71" i="15" s="1"/>
  <c r="F70" i="4"/>
  <c r="L70" i="4"/>
  <c r="U70" i="4" s="1"/>
  <c r="V70" i="4" s="1"/>
  <c r="E71" i="15"/>
  <c r="F71" i="15" l="1"/>
  <c r="N71" i="15"/>
  <c r="P71" i="15"/>
  <c r="Y71" i="15"/>
  <c r="W71" i="15"/>
  <c r="X71" i="15" s="1"/>
  <c r="Y70" i="4"/>
  <c r="W70" i="4"/>
  <c r="X70" i="4" s="1"/>
  <c r="M70" i="4"/>
  <c r="R71" i="15"/>
  <c r="Z70" i="4"/>
  <c r="Z71" i="15"/>
  <c r="Q71" i="15" l="1"/>
  <c r="S71" i="15" s="1"/>
  <c r="AA71" i="15"/>
  <c r="AB71" i="15" s="1"/>
  <c r="G71" i="15"/>
  <c r="AA70" i="4"/>
  <c r="AB70" i="4" s="1"/>
  <c r="N70" i="4"/>
  <c r="Q70" i="4" s="1"/>
  <c r="P70" i="4"/>
  <c r="R70" i="4"/>
  <c r="H72" i="15"/>
  <c r="AC71" i="15"/>
  <c r="J72" i="15" l="1"/>
  <c r="AF71" i="15"/>
  <c r="AI71" i="15"/>
  <c r="AD71" i="15"/>
  <c r="AE71" i="15" s="1"/>
  <c r="AG71" i="15"/>
  <c r="C72" i="15" s="1"/>
  <c r="T71" i="15"/>
  <c r="K72" i="15"/>
  <c r="G70" i="4"/>
  <c r="S70" i="4"/>
  <c r="H71" i="4"/>
  <c r="AC70" i="4"/>
  <c r="AK71" i="15" l="1"/>
  <c r="AJ71" i="15"/>
  <c r="AL71" i="15"/>
  <c r="AH71" i="15"/>
  <c r="D72" i="15" s="1"/>
  <c r="B72" i="15"/>
  <c r="K71" i="4"/>
  <c r="AF70" i="4"/>
  <c r="AI70" i="4"/>
  <c r="AJ70" i="4" s="1"/>
  <c r="AD70" i="4"/>
  <c r="AE70" i="4" s="1"/>
  <c r="AG70" i="4"/>
  <c r="C71" i="4" s="1"/>
  <c r="T70" i="4"/>
  <c r="O72" i="15"/>
  <c r="U72" i="15" l="1"/>
  <c r="V72" i="15" s="1"/>
  <c r="L72" i="15"/>
  <c r="M72" i="15" s="1"/>
  <c r="I72" i="15"/>
  <c r="B71" i="4"/>
  <c r="AH70" i="4"/>
  <c r="D71" i="4" s="1"/>
  <c r="AK71" i="4"/>
  <c r="AL71" i="4"/>
  <c r="O72" i="4"/>
  <c r="E72" i="15"/>
  <c r="F72" i="15" l="1"/>
  <c r="N72" i="15"/>
  <c r="P72" i="15"/>
  <c r="W72" i="15"/>
  <c r="Y72" i="15"/>
  <c r="I71" i="4"/>
  <c r="L71" i="4"/>
  <c r="U71" i="4" s="1"/>
  <c r="V71" i="4" s="1"/>
  <c r="Z72" i="15"/>
  <c r="E71" i="4"/>
  <c r="R72" i="15"/>
  <c r="X72" i="15" l="1"/>
  <c r="AA72" i="15" s="1"/>
  <c r="AB72" i="15" s="1"/>
  <c r="Q72" i="15"/>
  <c r="S72" i="15" s="1"/>
  <c r="G72" i="15"/>
  <c r="M71" i="4"/>
  <c r="P71" i="4" s="1"/>
  <c r="F71" i="4"/>
  <c r="W71" i="4"/>
  <c r="Y71" i="4"/>
  <c r="AC72" i="15"/>
  <c r="Z71" i="4"/>
  <c r="R71" i="4"/>
  <c r="H73" i="15"/>
  <c r="J73" i="15" l="1"/>
  <c r="AI72" i="15"/>
  <c r="AD72" i="15"/>
  <c r="AE72" i="15" s="1"/>
  <c r="AG72" i="15"/>
  <c r="C73" i="15" s="1"/>
  <c r="AF72" i="15"/>
  <c r="K73" i="15"/>
  <c r="T72" i="15"/>
  <c r="X71" i="4"/>
  <c r="AA71" i="4" s="1"/>
  <c r="AB71" i="4" s="1"/>
  <c r="N71" i="4"/>
  <c r="G71" i="4" s="1"/>
  <c r="AL72" i="15" l="1"/>
  <c r="AK72" i="15"/>
  <c r="AJ72" i="15"/>
  <c r="AH72" i="15"/>
  <c r="D73" i="15" s="1"/>
  <c r="B73" i="15"/>
  <c r="Q71" i="4"/>
  <c r="S71" i="4" s="1"/>
  <c r="H72" i="4"/>
  <c r="O73" i="15"/>
  <c r="AC71" i="4"/>
  <c r="U73" i="15" l="1"/>
  <c r="V73" i="15" s="1"/>
  <c r="L73" i="15"/>
  <c r="M73" i="15" s="1"/>
  <c r="I73" i="15"/>
  <c r="AI71" i="4"/>
  <c r="AJ71" i="4" s="1"/>
  <c r="AD71" i="4"/>
  <c r="AE71" i="4" s="1"/>
  <c r="AF71" i="4"/>
  <c r="B72" i="4" s="1"/>
  <c r="AG71" i="4"/>
  <c r="C72" i="4" s="1"/>
  <c r="K72" i="4"/>
  <c r="T71" i="4"/>
  <c r="E73" i="15"/>
  <c r="O73" i="4"/>
  <c r="F73" i="15" l="1"/>
  <c r="P73" i="15"/>
  <c r="N73" i="15"/>
  <c r="W73" i="15"/>
  <c r="Y73" i="15"/>
  <c r="I72" i="4"/>
  <c r="AL72" i="4"/>
  <c r="AH71" i="4"/>
  <c r="D72" i="4" s="1"/>
  <c r="L72" i="4" s="1"/>
  <c r="U72" i="4" s="1"/>
  <c r="V72" i="4" s="1"/>
  <c r="AK72" i="4"/>
  <c r="R73" i="15"/>
  <c r="E72" i="4"/>
  <c r="Z73" i="15"/>
  <c r="X73" i="15" l="1"/>
  <c r="AA73" i="15" s="1"/>
  <c r="AB73" i="15" s="1"/>
  <c r="Q73" i="15"/>
  <c r="S73" i="15" s="1"/>
  <c r="G73" i="15"/>
  <c r="F72" i="4"/>
  <c r="Y72" i="4"/>
  <c r="W72" i="4"/>
  <c r="M72" i="4"/>
  <c r="Z72" i="4"/>
  <c r="H74" i="15"/>
  <c r="AC73" i="15"/>
  <c r="J74" i="15" l="1"/>
  <c r="AG73" i="15"/>
  <c r="C74" i="15" s="1"/>
  <c r="AF73" i="15"/>
  <c r="AI73" i="15"/>
  <c r="AD73" i="15"/>
  <c r="AE73" i="15" s="1"/>
  <c r="T73" i="15"/>
  <c r="K74" i="15"/>
  <c r="X72" i="4"/>
  <c r="AA72" i="4" s="1"/>
  <c r="AB72" i="4" s="1"/>
  <c r="P72" i="4"/>
  <c r="N72" i="4"/>
  <c r="R72" i="4"/>
  <c r="AJ73" i="15" l="1"/>
  <c r="AL73" i="15"/>
  <c r="AK73" i="15"/>
  <c r="AH73" i="15"/>
  <c r="D74" i="15" s="1"/>
  <c r="B74" i="15"/>
  <c r="Q72" i="4"/>
  <c r="S72" i="4" s="1"/>
  <c r="G72" i="4"/>
  <c r="AC72" i="4"/>
  <c r="O74" i="15"/>
  <c r="H73" i="4"/>
  <c r="U74" i="15" l="1"/>
  <c r="V74" i="15" s="1"/>
  <c r="L74" i="15"/>
  <c r="M74" i="15" s="1"/>
  <c r="I74" i="15"/>
  <c r="K73" i="4"/>
  <c r="AD72" i="4"/>
  <c r="AE72" i="4" s="1"/>
  <c r="AF72" i="4"/>
  <c r="AI72" i="4"/>
  <c r="AJ72" i="4" s="1"/>
  <c r="AG72" i="4"/>
  <c r="C73" i="4" s="1"/>
  <c r="T72" i="4"/>
  <c r="E74" i="15"/>
  <c r="F74" i="15" l="1"/>
  <c r="N74" i="15"/>
  <c r="P74" i="15"/>
  <c r="Y74" i="15"/>
  <c r="W74" i="15"/>
  <c r="B73" i="4"/>
  <c r="AH72" i="4"/>
  <c r="D73" i="4" s="1"/>
  <c r="AL73" i="4"/>
  <c r="AK73" i="4"/>
  <c r="Z74" i="15"/>
  <c r="R74" i="15"/>
  <c r="O74" i="4"/>
  <c r="X74" i="15" l="1"/>
  <c r="AA74" i="15" s="1"/>
  <c r="AB74" i="15" s="1"/>
  <c r="Q74" i="15"/>
  <c r="S74" i="15" s="1"/>
  <c r="G74" i="15"/>
  <c r="I73" i="4"/>
  <c r="L73" i="4"/>
  <c r="U73" i="4" s="1"/>
  <c r="V73" i="4" s="1"/>
  <c r="H75" i="15"/>
  <c r="E73" i="4"/>
  <c r="AC74" i="15"/>
  <c r="J75" i="15" l="1"/>
  <c r="AG74" i="15"/>
  <c r="C75" i="15" s="1"/>
  <c r="AI74" i="15"/>
  <c r="AD74" i="15"/>
  <c r="AE74" i="15" s="1"/>
  <c r="AF74" i="15"/>
  <c r="T74" i="15"/>
  <c r="K75" i="15"/>
  <c r="M73" i="4"/>
  <c r="P73" i="4" s="1"/>
  <c r="F73" i="4"/>
  <c r="W73" i="4"/>
  <c r="Y73" i="4"/>
  <c r="Z73" i="4"/>
  <c r="R73" i="4"/>
  <c r="AJ74" i="15" l="1"/>
  <c r="AL74" i="15"/>
  <c r="AK74" i="15"/>
  <c r="AH74" i="15"/>
  <c r="D75" i="15" s="1"/>
  <c r="B75" i="15"/>
  <c r="N73" i="4"/>
  <c r="G73" i="4" s="1"/>
  <c r="X73" i="4"/>
  <c r="AA73" i="4" s="1"/>
  <c r="AB73" i="4" s="1"/>
  <c r="O75" i="15"/>
  <c r="U75" i="15" l="1"/>
  <c r="V75" i="15" s="1"/>
  <c r="L75" i="15"/>
  <c r="M75" i="15" s="1"/>
  <c r="I75" i="15"/>
  <c r="Q73" i="4"/>
  <c r="S73" i="4" s="1"/>
  <c r="AC73" i="4"/>
  <c r="H74" i="4"/>
  <c r="E75" i="15"/>
  <c r="F75" i="15" l="1"/>
  <c r="P75" i="15"/>
  <c r="N75" i="15"/>
  <c r="W75" i="15"/>
  <c r="Y75" i="15"/>
  <c r="AD73" i="4"/>
  <c r="AE73" i="4" s="1"/>
  <c r="AF73" i="4"/>
  <c r="B74" i="4" s="1"/>
  <c r="AG73" i="4"/>
  <c r="C74" i="4" s="1"/>
  <c r="AI73" i="4"/>
  <c r="AJ73" i="4" s="1"/>
  <c r="K74" i="4"/>
  <c r="T73" i="4"/>
  <c r="Z75" i="15"/>
  <c r="R75" i="15"/>
  <c r="O75" i="4"/>
  <c r="X75" i="15" l="1"/>
  <c r="AA75" i="15" s="1"/>
  <c r="AB75" i="15" s="1"/>
  <c r="Q75" i="15"/>
  <c r="S75" i="15" s="1"/>
  <c r="G75" i="15"/>
  <c r="AH73" i="4"/>
  <c r="D74" i="4" s="1"/>
  <c r="L74" i="4" s="1"/>
  <c r="U74" i="4" s="1"/>
  <c r="V74" i="4" s="1"/>
  <c r="AL74" i="4"/>
  <c r="AK74" i="4"/>
  <c r="I74" i="4"/>
  <c r="AC75" i="15"/>
  <c r="E74" i="4"/>
  <c r="H76" i="15"/>
  <c r="J76" i="15" l="1"/>
  <c r="AI75" i="15"/>
  <c r="AG75" i="15"/>
  <c r="C76" i="15" s="1"/>
  <c r="AD75" i="15"/>
  <c r="AE75" i="15" s="1"/>
  <c r="AF75" i="15"/>
  <c r="T75" i="15"/>
  <c r="K76" i="15"/>
  <c r="F74" i="4"/>
  <c r="Y74" i="4"/>
  <c r="W74" i="4"/>
  <c r="M74" i="4"/>
  <c r="Z74" i="4"/>
  <c r="AJ75" i="15" l="1"/>
  <c r="AL75" i="15"/>
  <c r="AK75" i="15"/>
  <c r="B76" i="15"/>
  <c r="AH75" i="15"/>
  <c r="D76" i="15" s="1"/>
  <c r="X74" i="4"/>
  <c r="AA74" i="4" s="1"/>
  <c r="AB74" i="4" s="1"/>
  <c r="N74" i="4"/>
  <c r="G74" i="4" s="1"/>
  <c r="P74" i="4"/>
  <c r="O76" i="15"/>
  <c r="R74" i="4"/>
  <c r="I76" i="15" l="1"/>
  <c r="U76" i="15"/>
  <c r="V76" i="15" s="1"/>
  <c r="L76" i="15"/>
  <c r="M76" i="15" s="1"/>
  <c r="Q74" i="4"/>
  <c r="S74" i="4" s="1"/>
  <c r="T74" i="4" s="1"/>
  <c r="H75" i="4"/>
  <c r="E76" i="15"/>
  <c r="AC74" i="4"/>
  <c r="F76" i="15" l="1"/>
  <c r="N76" i="15"/>
  <c r="P76" i="15"/>
  <c r="Y76" i="15"/>
  <c r="W76" i="15"/>
  <c r="X76" i="15" s="1"/>
  <c r="K75" i="4"/>
  <c r="AI74" i="4"/>
  <c r="AJ74" i="4" s="1"/>
  <c r="AD74" i="4"/>
  <c r="AE74" i="4" s="1"/>
  <c r="AG74" i="4"/>
  <c r="C75" i="4" s="1"/>
  <c r="AF74" i="4"/>
  <c r="R76" i="15"/>
  <c r="Z76" i="15"/>
  <c r="Q76" i="15" l="1"/>
  <c r="S76" i="15" s="1"/>
  <c r="AA76" i="15"/>
  <c r="AB76" i="15" s="1"/>
  <c r="G76" i="15"/>
  <c r="AK75" i="4"/>
  <c r="B75" i="4"/>
  <c r="AH74" i="4"/>
  <c r="D75" i="4" s="1"/>
  <c r="AL75" i="4"/>
  <c r="H77" i="15"/>
  <c r="AC76" i="15"/>
  <c r="O76" i="4"/>
  <c r="J77" i="15" l="1"/>
  <c r="AD76" i="15"/>
  <c r="AE76" i="15" s="1"/>
  <c r="AF76" i="15"/>
  <c r="AG76" i="15"/>
  <c r="C77" i="15" s="1"/>
  <c r="AI76" i="15"/>
  <c r="T76" i="15"/>
  <c r="K77" i="15"/>
  <c r="I75" i="4"/>
  <c r="L75" i="4"/>
  <c r="U75" i="4" s="1"/>
  <c r="V75" i="4" s="1"/>
  <c r="E75" i="4"/>
  <c r="B77" i="15" l="1"/>
  <c r="AH76" i="15"/>
  <c r="D77" i="15" s="1"/>
  <c r="AL76" i="15"/>
  <c r="AK76" i="15"/>
  <c r="AJ76" i="15"/>
  <c r="M75" i="4"/>
  <c r="P75" i="4" s="1"/>
  <c r="F75" i="4"/>
  <c r="Y75" i="4"/>
  <c r="W75" i="4"/>
  <c r="O77" i="15"/>
  <c r="Z75" i="4"/>
  <c r="R75" i="4"/>
  <c r="U77" i="15" l="1"/>
  <c r="V77" i="15" s="1"/>
  <c r="L77" i="15"/>
  <c r="M77" i="15" s="1"/>
  <c r="I77" i="15"/>
  <c r="N75" i="4"/>
  <c r="Q75" i="4" s="1"/>
  <c r="S75" i="4" s="1"/>
  <c r="T75" i="4" s="1"/>
  <c r="X75" i="4"/>
  <c r="AA75" i="4" s="1"/>
  <c r="AB75" i="4" s="1"/>
  <c r="AC75" i="4"/>
  <c r="E77" i="15"/>
  <c r="H76" i="4"/>
  <c r="F77" i="15" l="1"/>
  <c r="N77" i="15"/>
  <c r="P77" i="15"/>
  <c r="Y77" i="15"/>
  <c r="W77" i="15"/>
  <c r="G75" i="4"/>
  <c r="K76" i="4"/>
  <c r="AI75" i="4"/>
  <c r="AJ75" i="4" s="1"/>
  <c r="AD75" i="4"/>
  <c r="AE75" i="4" s="1"/>
  <c r="AG75" i="4"/>
  <c r="C76" i="4" s="1"/>
  <c r="AF75" i="4"/>
  <c r="R77" i="15"/>
  <c r="Z77" i="15"/>
  <c r="X77" i="15" l="1"/>
  <c r="Q77" i="15"/>
  <c r="S77" i="15" s="1"/>
  <c r="AA77" i="15"/>
  <c r="AB77" i="15" s="1"/>
  <c r="G77" i="15"/>
  <c r="AK76" i="4"/>
  <c r="AH75" i="4"/>
  <c r="D76" i="4" s="1"/>
  <c r="L76" i="4" s="1"/>
  <c r="U76" i="4" s="1"/>
  <c r="V76" i="4" s="1"/>
  <c r="AL76" i="4"/>
  <c r="B76" i="4"/>
  <c r="H78" i="15"/>
  <c r="O77" i="4"/>
  <c r="AC77" i="15"/>
  <c r="J78" i="15" l="1"/>
  <c r="AI77" i="15"/>
  <c r="AD77" i="15"/>
  <c r="AE77" i="15" s="1"/>
  <c r="AF77" i="15"/>
  <c r="AG77" i="15"/>
  <c r="C78" i="15" s="1"/>
  <c r="K78" i="15"/>
  <c r="T77" i="15"/>
  <c r="W76" i="4"/>
  <c r="M76" i="4"/>
  <c r="P76" i="4" s="1"/>
  <c r="Y76" i="4"/>
  <c r="I76" i="4"/>
  <c r="Z76" i="4"/>
  <c r="E76" i="4"/>
  <c r="R76" i="4"/>
  <c r="N76" i="4" l="1"/>
  <c r="Q76" i="4" s="1"/>
  <c r="S76" i="4" s="1"/>
  <c r="B78" i="15"/>
  <c r="AH77" i="15"/>
  <c r="D78" i="15" s="1"/>
  <c r="AJ77" i="15"/>
  <c r="AL77" i="15"/>
  <c r="AK77" i="15"/>
  <c r="F76" i="4"/>
  <c r="H77" i="4"/>
  <c r="O78" i="15"/>
  <c r="L78" i="15" l="1"/>
  <c r="M78" i="15" s="1"/>
  <c r="U78" i="15"/>
  <c r="V78" i="15" s="1"/>
  <c r="I78" i="15"/>
  <c r="K77" i="4"/>
  <c r="G76" i="4"/>
  <c r="X76" i="4"/>
  <c r="AA76" i="4" s="1"/>
  <c r="AB76" i="4" s="1"/>
  <c r="T76" i="4"/>
  <c r="AC76" i="4"/>
  <c r="E78" i="15"/>
  <c r="AF76" i="4" l="1"/>
  <c r="B77" i="4" s="1"/>
  <c r="AD76" i="4"/>
  <c r="AE76" i="4" s="1"/>
  <c r="AI76" i="4"/>
  <c r="AG76" i="4"/>
  <c r="C77" i="4" s="1"/>
  <c r="F78" i="15"/>
  <c r="Y78" i="15"/>
  <c r="W78" i="15"/>
  <c r="P78" i="15"/>
  <c r="N78" i="15"/>
  <c r="Z78" i="15"/>
  <c r="R78" i="15"/>
  <c r="O78" i="4"/>
  <c r="AJ76" i="4" l="1"/>
  <c r="AL77" i="4"/>
  <c r="I77" i="4"/>
  <c r="AH76" i="4"/>
  <c r="D77" i="4" s="1"/>
  <c r="L77" i="4" s="1"/>
  <c r="U77" i="4" s="1"/>
  <c r="V77" i="4" s="1"/>
  <c r="AK77" i="4"/>
  <c r="X78" i="15"/>
  <c r="AA78" i="15" s="1"/>
  <c r="AB78" i="15" s="1"/>
  <c r="Q78" i="15"/>
  <c r="S78" i="15" s="1"/>
  <c r="G78" i="15"/>
  <c r="AC78" i="15"/>
  <c r="H79" i="15"/>
  <c r="E77" i="4"/>
  <c r="F77" i="4" l="1"/>
  <c r="J79" i="15"/>
  <c r="AG78" i="15"/>
  <c r="C79" i="15" s="1"/>
  <c r="AF78" i="15"/>
  <c r="AI78" i="15"/>
  <c r="AD78" i="15"/>
  <c r="AE78" i="15" s="1"/>
  <c r="T78" i="15"/>
  <c r="K79" i="15"/>
  <c r="M77" i="4"/>
  <c r="Y77" i="4"/>
  <c r="W77" i="4"/>
  <c r="Z77" i="4"/>
  <c r="X77" i="4" l="1"/>
  <c r="AA77" i="4" s="1"/>
  <c r="AB77" i="4" s="1"/>
  <c r="AK78" i="15"/>
  <c r="AL78" i="15"/>
  <c r="AJ78" i="15"/>
  <c r="B79" i="15"/>
  <c r="AH78" i="15"/>
  <c r="D79" i="15" s="1"/>
  <c r="N77" i="4"/>
  <c r="G77" i="4" s="1"/>
  <c r="P77" i="4"/>
  <c r="O79" i="15"/>
  <c r="R77" i="4"/>
  <c r="I79" i="15" l="1"/>
  <c r="U79" i="15"/>
  <c r="V79" i="15" s="1"/>
  <c r="L79" i="15"/>
  <c r="M79" i="15" s="1"/>
  <c r="Q77" i="4"/>
  <c r="S77" i="4" s="1"/>
  <c r="T77" i="4" s="1"/>
  <c r="E79" i="15"/>
  <c r="H78" i="4"/>
  <c r="AC77" i="4"/>
  <c r="F79" i="15" l="1"/>
  <c r="W79" i="15"/>
  <c r="Y79" i="15"/>
  <c r="P79" i="15"/>
  <c r="N79" i="15"/>
  <c r="AG77" i="4"/>
  <c r="C78" i="4" s="1"/>
  <c r="AI77" i="4"/>
  <c r="AJ77" i="4" s="1"/>
  <c r="AF77" i="4"/>
  <c r="B78" i="4" s="1"/>
  <c r="AD77" i="4"/>
  <c r="AE77" i="4" s="1"/>
  <c r="K78" i="4"/>
  <c r="Z79" i="15"/>
  <c r="R79" i="15"/>
  <c r="O79" i="4"/>
  <c r="X79" i="15" l="1"/>
  <c r="AA79" i="15" s="1"/>
  <c r="AB79" i="15" s="1"/>
  <c r="Q79" i="15"/>
  <c r="S79" i="15" s="1"/>
  <c r="G79" i="15"/>
  <c r="AL78" i="4"/>
  <c r="AH77" i="4"/>
  <c r="D78" i="4" s="1"/>
  <c r="L78" i="4" s="1"/>
  <c r="U78" i="4" s="1"/>
  <c r="V78" i="4" s="1"/>
  <c r="AK78" i="4"/>
  <c r="I78" i="4"/>
  <c r="AC79" i="15"/>
  <c r="H80" i="15"/>
  <c r="E78" i="4"/>
  <c r="J80" i="15" l="1"/>
  <c r="AD79" i="15"/>
  <c r="AE79" i="15" s="1"/>
  <c r="AG79" i="15"/>
  <c r="C80" i="15" s="1"/>
  <c r="AF79" i="15"/>
  <c r="AI79" i="15"/>
  <c r="T79" i="15"/>
  <c r="K80" i="15"/>
  <c r="F78" i="4"/>
  <c r="Y78" i="4"/>
  <c r="W78" i="4"/>
  <c r="M78" i="4"/>
  <c r="Z78" i="4"/>
  <c r="AH79" i="15" l="1"/>
  <c r="D80" i="15" s="1"/>
  <c r="B80" i="15"/>
  <c r="AJ79" i="15"/>
  <c r="AL79" i="15"/>
  <c r="AK79" i="15"/>
  <c r="X78" i="4"/>
  <c r="AA78" i="4" s="1"/>
  <c r="AB78" i="4" s="1"/>
  <c r="N78" i="4"/>
  <c r="Q78" i="4" s="1"/>
  <c r="P78" i="4"/>
  <c r="O80" i="15"/>
  <c r="R78" i="4"/>
  <c r="I80" i="15" l="1"/>
  <c r="U80" i="15"/>
  <c r="V80" i="15" s="1"/>
  <c r="L80" i="15"/>
  <c r="M80" i="15" s="1"/>
  <c r="G78" i="4"/>
  <c r="S78" i="4"/>
  <c r="T78" i="4" s="1"/>
  <c r="AC78" i="4"/>
  <c r="H79" i="4"/>
  <c r="E80" i="15"/>
  <c r="F80" i="15" l="1"/>
  <c r="P80" i="15"/>
  <c r="N80" i="15"/>
  <c r="Y80" i="15"/>
  <c r="W80" i="15"/>
  <c r="K79" i="4"/>
  <c r="AG78" i="4"/>
  <c r="C79" i="4" s="1"/>
  <c r="AI78" i="4"/>
  <c r="AJ78" i="4" s="1"/>
  <c r="AD78" i="4"/>
  <c r="AE78" i="4" s="1"/>
  <c r="AF78" i="4"/>
  <c r="R80" i="15"/>
  <c r="Z80" i="15"/>
  <c r="X80" i="15" l="1"/>
  <c r="AA80" i="15" s="1"/>
  <c r="AB80" i="15" s="1"/>
  <c r="Q80" i="15"/>
  <c r="S80" i="15" s="1"/>
  <c r="G80" i="15"/>
  <c r="AK79" i="4"/>
  <c r="B79" i="4"/>
  <c r="AH78" i="4"/>
  <c r="D79" i="4" s="1"/>
  <c r="AL79" i="4"/>
  <c r="AC80" i="15"/>
  <c r="H81" i="15"/>
  <c r="O80" i="4"/>
  <c r="J81" i="15" l="1"/>
  <c r="AD80" i="15"/>
  <c r="AE80" i="15" s="1"/>
  <c r="AF80" i="15"/>
  <c r="AI80" i="15"/>
  <c r="AG80" i="15"/>
  <c r="C81" i="15" s="1"/>
  <c r="T80" i="15"/>
  <c r="K81" i="15"/>
  <c r="I79" i="4"/>
  <c r="L79" i="4"/>
  <c r="U79" i="4" s="1"/>
  <c r="V79" i="4" s="1"/>
  <c r="E79" i="4"/>
  <c r="AK80" i="15" l="1"/>
  <c r="AL80" i="15"/>
  <c r="AJ80" i="15"/>
  <c r="AH80" i="15"/>
  <c r="D81" i="15" s="1"/>
  <c r="B81" i="15"/>
  <c r="F79" i="4"/>
  <c r="Y79" i="4"/>
  <c r="W79" i="4"/>
  <c r="M79" i="4"/>
  <c r="Z79" i="4"/>
  <c r="O81" i="15"/>
  <c r="U81" i="15" l="1"/>
  <c r="V81" i="15" s="1"/>
  <c r="L81" i="15"/>
  <c r="M81" i="15" s="1"/>
  <c r="I81" i="15"/>
  <c r="X79" i="4"/>
  <c r="AA79" i="4" s="1"/>
  <c r="AB79" i="4" s="1"/>
  <c r="P79" i="4"/>
  <c r="N79" i="4"/>
  <c r="Q79" i="4" s="1"/>
  <c r="R79" i="4"/>
  <c r="E81" i="15"/>
  <c r="F81" i="15" l="1"/>
  <c r="P81" i="15"/>
  <c r="N81" i="15"/>
  <c r="W81" i="15"/>
  <c r="Y81" i="15"/>
  <c r="S79" i="4"/>
  <c r="G79" i="4"/>
  <c r="Z81" i="15"/>
  <c r="H80" i="4"/>
  <c r="AC79" i="4"/>
  <c r="R81" i="15"/>
  <c r="X81" i="15" l="1"/>
  <c r="AA81" i="15" s="1"/>
  <c r="AB81" i="15" s="1"/>
  <c r="Q81" i="15"/>
  <c r="S81" i="15" s="1"/>
  <c r="T81" i="15" s="1"/>
  <c r="G81" i="15"/>
  <c r="K80" i="4"/>
  <c r="AI79" i="4"/>
  <c r="AJ79" i="4" s="1"/>
  <c r="AD79" i="4"/>
  <c r="AE79" i="4" s="1"/>
  <c r="AG79" i="4"/>
  <c r="C80" i="4" s="1"/>
  <c r="AF79" i="4"/>
  <c r="T79" i="4"/>
  <c r="H82" i="15"/>
  <c r="AC81" i="15"/>
  <c r="J82" i="15" l="1"/>
  <c r="AI81" i="15"/>
  <c r="AD81" i="15"/>
  <c r="AE81" i="15" s="1"/>
  <c r="AG81" i="15"/>
  <c r="C82" i="15" s="1"/>
  <c r="AF81" i="15"/>
  <c r="K82" i="15"/>
  <c r="AK80" i="4"/>
  <c r="AL80" i="4"/>
  <c r="AH79" i="4"/>
  <c r="D80" i="4" s="1"/>
  <c r="B80" i="4"/>
  <c r="O81" i="4"/>
  <c r="AK81" i="15" l="1"/>
  <c r="AL81" i="15"/>
  <c r="AJ81" i="15"/>
  <c r="AH81" i="15"/>
  <c r="D82" i="15" s="1"/>
  <c r="B82" i="15"/>
  <c r="I80" i="4"/>
  <c r="L80" i="4"/>
  <c r="U80" i="4" s="1"/>
  <c r="V80" i="4" s="1"/>
  <c r="E80" i="4"/>
  <c r="O82" i="15"/>
  <c r="L82" i="15" l="1"/>
  <c r="M82" i="15" s="1"/>
  <c r="U82" i="15"/>
  <c r="V82" i="15" s="1"/>
  <c r="I82" i="15"/>
  <c r="M80" i="4"/>
  <c r="P80" i="4" s="1"/>
  <c r="F80" i="4"/>
  <c r="W80" i="4"/>
  <c r="Y80" i="4"/>
  <c r="Z80" i="4"/>
  <c r="R80" i="4"/>
  <c r="E82" i="15"/>
  <c r="F82" i="15" l="1"/>
  <c r="Y82" i="15"/>
  <c r="W82" i="15"/>
  <c r="N82" i="15"/>
  <c r="P82" i="15"/>
  <c r="X80" i="4"/>
  <c r="AA80" i="4" s="1"/>
  <c r="AB80" i="4" s="1"/>
  <c r="N80" i="4"/>
  <c r="G80" i="4" s="1"/>
  <c r="Z82" i="15"/>
  <c r="R82" i="15"/>
  <c r="X82" i="15" l="1"/>
  <c r="AA82" i="15" s="1"/>
  <c r="AB82" i="15" s="1"/>
  <c r="Q82" i="15"/>
  <c r="S82" i="15" s="1"/>
  <c r="G82" i="15"/>
  <c r="Q80" i="4"/>
  <c r="S80" i="4" s="1"/>
  <c r="H83" i="15"/>
  <c r="H81" i="4"/>
  <c r="AC80" i="4"/>
  <c r="AC82" i="15"/>
  <c r="J83" i="15" l="1"/>
  <c r="AI82" i="15"/>
  <c r="AD82" i="15"/>
  <c r="AE82" i="15" s="1"/>
  <c r="AG82" i="15"/>
  <c r="C83" i="15" s="1"/>
  <c r="AF82" i="15"/>
  <c r="T82" i="15"/>
  <c r="K83" i="15"/>
  <c r="AI80" i="4"/>
  <c r="AJ80" i="4" s="1"/>
  <c r="AF80" i="4"/>
  <c r="B81" i="4" s="1"/>
  <c r="AG80" i="4"/>
  <c r="C81" i="4" s="1"/>
  <c r="AD80" i="4"/>
  <c r="AE80" i="4" s="1"/>
  <c r="K81" i="4"/>
  <c r="T80" i="4"/>
  <c r="O82" i="4"/>
  <c r="AL82" i="15" l="1"/>
  <c r="AJ82" i="15"/>
  <c r="AK82" i="15"/>
  <c r="B83" i="15"/>
  <c r="AH82" i="15"/>
  <c r="D83" i="15" s="1"/>
  <c r="AH80" i="4"/>
  <c r="D81" i="4" s="1"/>
  <c r="L81" i="4" s="1"/>
  <c r="U81" i="4" s="1"/>
  <c r="V81" i="4" s="1"/>
  <c r="AK81" i="4"/>
  <c r="AL81" i="4"/>
  <c r="I81" i="4"/>
  <c r="O83" i="15"/>
  <c r="E81" i="4"/>
  <c r="I83" i="15" l="1"/>
  <c r="L83" i="15"/>
  <c r="M83" i="15" s="1"/>
  <c r="U83" i="15"/>
  <c r="V83" i="15" s="1"/>
  <c r="F81" i="4"/>
  <c r="W81" i="4"/>
  <c r="Y81" i="4"/>
  <c r="M81" i="4"/>
  <c r="Z81" i="4"/>
  <c r="E83" i="15"/>
  <c r="F83" i="15" l="1"/>
  <c r="W83" i="15"/>
  <c r="Y83" i="15"/>
  <c r="P83" i="15"/>
  <c r="N83" i="15"/>
  <c r="X81" i="4"/>
  <c r="AA81" i="4" s="1"/>
  <c r="AB81" i="4" s="1"/>
  <c r="P81" i="4"/>
  <c r="N81" i="4"/>
  <c r="Q81" i="4" s="1"/>
  <c r="R83" i="15"/>
  <c r="Z83" i="15"/>
  <c r="R81" i="4"/>
  <c r="X83" i="15" l="1"/>
  <c r="AA83" i="15" s="1"/>
  <c r="AB83" i="15" s="1"/>
  <c r="Q83" i="15"/>
  <c r="S83" i="15" s="1"/>
  <c r="G83" i="15"/>
  <c r="S81" i="4"/>
  <c r="G81" i="4"/>
  <c r="AC81" i="4"/>
  <c r="H82" i="4"/>
  <c r="H84" i="15"/>
  <c r="AC83" i="15"/>
  <c r="J84" i="15" l="1"/>
  <c r="AF83" i="15"/>
  <c r="AG83" i="15"/>
  <c r="C84" i="15" s="1"/>
  <c r="AI83" i="15"/>
  <c r="AD83" i="15"/>
  <c r="AE83" i="15" s="1"/>
  <c r="T83" i="15"/>
  <c r="K84" i="15"/>
  <c r="K82" i="4"/>
  <c r="AI81" i="4"/>
  <c r="AJ81" i="4" s="1"/>
  <c r="AD81" i="4"/>
  <c r="AE81" i="4" s="1"/>
  <c r="AG81" i="4"/>
  <c r="C82" i="4" s="1"/>
  <c r="AF81" i="4"/>
  <c r="T81" i="4"/>
  <c r="B84" i="15" l="1"/>
  <c r="AH83" i="15"/>
  <c r="D84" i="15" s="1"/>
  <c r="AJ83" i="15"/>
  <c r="AL83" i="15"/>
  <c r="AK83" i="15"/>
  <c r="B82" i="4"/>
  <c r="AH81" i="4"/>
  <c r="D82" i="4" s="1"/>
  <c r="AL82" i="4"/>
  <c r="AK82" i="4"/>
  <c r="O84" i="15"/>
  <c r="O83" i="4"/>
  <c r="U84" i="15" l="1"/>
  <c r="V84" i="15" s="1"/>
  <c r="L84" i="15"/>
  <c r="M84" i="15" s="1"/>
  <c r="I84" i="15"/>
  <c r="I82" i="4"/>
  <c r="L82" i="4"/>
  <c r="U82" i="4" s="1"/>
  <c r="V82" i="4" s="1"/>
  <c r="E84" i="15"/>
  <c r="E82" i="4"/>
  <c r="F84" i="15" l="1"/>
  <c r="N84" i="15"/>
  <c r="P84" i="15"/>
  <c r="Y84" i="15"/>
  <c r="W84" i="15"/>
  <c r="X84" i="15" s="1"/>
  <c r="F82" i="4"/>
  <c r="Y82" i="4"/>
  <c r="W82" i="4"/>
  <c r="M82" i="4"/>
  <c r="R84" i="15"/>
  <c r="Z82" i="4"/>
  <c r="Z84" i="15"/>
  <c r="Q84" i="15" l="1"/>
  <c r="S84" i="15" s="1"/>
  <c r="AA84" i="15"/>
  <c r="AB84" i="15" s="1"/>
  <c r="G84" i="15"/>
  <c r="X82" i="4"/>
  <c r="AA82" i="4" s="1"/>
  <c r="AB82" i="4" s="1"/>
  <c r="N82" i="4"/>
  <c r="Q82" i="4" s="1"/>
  <c r="P82" i="4"/>
  <c r="R82" i="4"/>
  <c r="H85" i="15"/>
  <c r="AC84" i="15"/>
  <c r="J85" i="15" l="1"/>
  <c r="AG84" i="15"/>
  <c r="C85" i="15" s="1"/>
  <c r="AF84" i="15"/>
  <c r="AI84" i="15"/>
  <c r="AD84" i="15"/>
  <c r="AE84" i="15" s="1"/>
  <c r="K85" i="15"/>
  <c r="T84" i="15"/>
  <c r="G82" i="4"/>
  <c r="S82" i="4"/>
  <c r="AC82" i="4"/>
  <c r="H83" i="4"/>
  <c r="AK84" i="15" l="1"/>
  <c r="AJ84" i="15"/>
  <c r="AL84" i="15"/>
  <c r="AH84" i="15"/>
  <c r="D85" i="15" s="1"/>
  <c r="B85" i="15"/>
  <c r="K83" i="4"/>
  <c r="AG82" i="4"/>
  <c r="C83" i="4" s="1"/>
  <c r="AI82" i="4"/>
  <c r="AJ82" i="4" s="1"/>
  <c r="AD82" i="4"/>
  <c r="AE82" i="4" s="1"/>
  <c r="AF82" i="4"/>
  <c r="T82" i="4"/>
  <c r="O85" i="15"/>
  <c r="AH82" i="4" l="1"/>
  <c r="D83" i="4" s="1"/>
  <c r="L83" i="4" s="1"/>
  <c r="U83" i="4" s="1"/>
  <c r="V83" i="4" s="1"/>
  <c r="U85" i="15"/>
  <c r="V85" i="15" s="1"/>
  <c r="L85" i="15"/>
  <c r="M85" i="15" s="1"/>
  <c r="I85" i="15"/>
  <c r="AK83" i="4"/>
  <c r="AL83" i="4"/>
  <c r="B83" i="4"/>
  <c r="O84" i="4"/>
  <c r="E85" i="15"/>
  <c r="M83" i="4" l="1"/>
  <c r="P83" i="4" s="1"/>
  <c r="F85" i="15"/>
  <c r="P85" i="15"/>
  <c r="N85" i="15"/>
  <c r="Q85" i="15" s="1"/>
  <c r="W85" i="15"/>
  <c r="Y85" i="15"/>
  <c r="I83" i="4"/>
  <c r="Y83" i="4"/>
  <c r="W83" i="4"/>
  <c r="Z85" i="15"/>
  <c r="Z83" i="4"/>
  <c r="R85" i="15"/>
  <c r="R83" i="4"/>
  <c r="E83" i="4"/>
  <c r="X85" i="15" l="1"/>
  <c r="AA85" i="15" s="1"/>
  <c r="AB85" i="15" s="1"/>
  <c r="N83" i="4"/>
  <c r="Q83" i="4" s="1"/>
  <c r="S83" i="4" s="1"/>
  <c r="T83" i="4" s="1"/>
  <c r="S85" i="15"/>
  <c r="G85" i="15"/>
  <c r="F83" i="4"/>
  <c r="H84" i="4"/>
  <c r="AC85" i="15"/>
  <c r="H86" i="15"/>
  <c r="AC83" i="4"/>
  <c r="G83" i="4" l="1"/>
  <c r="J86" i="15"/>
  <c r="AI85" i="15"/>
  <c r="AD85" i="15"/>
  <c r="AE85" i="15" s="1"/>
  <c r="AG85" i="15"/>
  <c r="C86" i="15" s="1"/>
  <c r="AF85" i="15"/>
  <c r="K86" i="15"/>
  <c r="T85" i="15"/>
  <c r="K84" i="4"/>
  <c r="AD83" i="4"/>
  <c r="AE83" i="4" s="1"/>
  <c r="AI83" i="4"/>
  <c r="AJ83" i="4" s="1"/>
  <c r="AG83" i="4"/>
  <c r="C84" i="4" s="1"/>
  <c r="AF83" i="4"/>
  <c r="X83" i="4"/>
  <c r="AA83" i="4" s="1"/>
  <c r="AB83" i="4" s="1"/>
  <c r="AK85" i="15" l="1"/>
  <c r="AJ85" i="15"/>
  <c r="AL85" i="15"/>
  <c r="B86" i="15"/>
  <c r="AH85" i="15"/>
  <c r="D86" i="15" s="1"/>
  <c r="B84" i="4"/>
  <c r="AH83" i="4"/>
  <c r="D84" i="4" s="1"/>
  <c r="AK84" i="4"/>
  <c r="AL84" i="4"/>
  <c r="O86" i="15"/>
  <c r="O85" i="4"/>
  <c r="I86" i="15" l="1"/>
  <c r="L86" i="15"/>
  <c r="M86" i="15" s="1"/>
  <c r="U86" i="15"/>
  <c r="V86" i="15" s="1"/>
  <c r="I84" i="4"/>
  <c r="L84" i="4"/>
  <c r="U84" i="4" s="1"/>
  <c r="V84" i="4" s="1"/>
  <c r="E86" i="15"/>
  <c r="E84" i="4"/>
  <c r="F86" i="15" l="1"/>
  <c r="Y86" i="15"/>
  <c r="W86" i="15"/>
  <c r="N86" i="15"/>
  <c r="P86" i="15"/>
  <c r="M84" i="4"/>
  <c r="P84" i="4" s="1"/>
  <c r="F84" i="4"/>
  <c r="Y84" i="4"/>
  <c r="W84" i="4"/>
  <c r="Z86" i="15"/>
  <c r="R86" i="15"/>
  <c r="Z84" i="4"/>
  <c r="R84" i="4"/>
  <c r="X86" i="15" l="1"/>
  <c r="AA86" i="15" s="1"/>
  <c r="AB86" i="15" s="1"/>
  <c r="Q86" i="15"/>
  <c r="S86" i="15" s="1"/>
  <c r="G86" i="15"/>
  <c r="X84" i="4"/>
  <c r="AA84" i="4" s="1"/>
  <c r="AB84" i="4" s="1"/>
  <c r="N84" i="4"/>
  <c r="G84" i="4" s="1"/>
  <c r="H87" i="15"/>
  <c r="AC86" i="15"/>
  <c r="J87" i="15" l="1"/>
  <c r="AG86" i="15"/>
  <c r="C87" i="15" s="1"/>
  <c r="AD86" i="15"/>
  <c r="AE86" i="15" s="1"/>
  <c r="AF86" i="15"/>
  <c r="AI86" i="15"/>
  <c r="T86" i="15"/>
  <c r="K87" i="15"/>
  <c r="Q84" i="4"/>
  <c r="S84" i="4" s="1"/>
  <c r="T84" i="4" s="1"/>
  <c r="AC84" i="4"/>
  <c r="H85" i="4"/>
  <c r="AH86" i="15" l="1"/>
  <c r="D87" i="15" s="1"/>
  <c r="B87" i="15"/>
  <c r="AJ86" i="15"/>
  <c r="AK86" i="15"/>
  <c r="AL86" i="15"/>
  <c r="AD84" i="4"/>
  <c r="AE84" i="4" s="1"/>
  <c r="AF84" i="4"/>
  <c r="B85" i="4" s="1"/>
  <c r="AG84" i="4"/>
  <c r="C85" i="4" s="1"/>
  <c r="AI84" i="4"/>
  <c r="AJ84" i="4" s="1"/>
  <c r="K85" i="4"/>
  <c r="O86" i="4"/>
  <c r="O87" i="15"/>
  <c r="I87" i="15" l="1"/>
  <c r="L87" i="15"/>
  <c r="M87" i="15" s="1"/>
  <c r="U87" i="15"/>
  <c r="V87" i="15" s="1"/>
  <c r="AH84" i="4"/>
  <c r="D85" i="4" s="1"/>
  <c r="L85" i="4" s="1"/>
  <c r="U85" i="4" s="1"/>
  <c r="V85" i="4" s="1"/>
  <c r="AK85" i="4"/>
  <c r="AL85" i="4"/>
  <c r="I85" i="4"/>
  <c r="E85" i="4"/>
  <c r="E87" i="15"/>
  <c r="F87" i="15" l="1"/>
  <c r="Y87" i="15"/>
  <c r="W87" i="15"/>
  <c r="P87" i="15"/>
  <c r="N87" i="15"/>
  <c r="F85" i="4"/>
  <c r="Y85" i="4"/>
  <c r="W85" i="4"/>
  <c r="M85" i="4"/>
  <c r="R87" i="15"/>
  <c r="Z85" i="4"/>
  <c r="Z87" i="15"/>
  <c r="X87" i="15" l="1"/>
  <c r="AA87" i="15" s="1"/>
  <c r="AB87" i="15" s="1"/>
  <c r="Q87" i="15"/>
  <c r="S87" i="15" s="1"/>
  <c r="G87" i="15"/>
  <c r="X85" i="4"/>
  <c r="AA85" i="4" s="1"/>
  <c r="AB85" i="4" s="1"/>
  <c r="P85" i="4"/>
  <c r="N85" i="4"/>
  <c r="G85" i="4" s="1"/>
  <c r="R85" i="4"/>
  <c r="H88" i="15"/>
  <c r="AC87" i="15"/>
  <c r="J88" i="15" l="1"/>
  <c r="AD87" i="15"/>
  <c r="AE87" i="15" s="1"/>
  <c r="AG87" i="15"/>
  <c r="C88" i="15" s="1"/>
  <c r="AF87" i="15"/>
  <c r="AI87" i="15"/>
  <c r="T87" i="15"/>
  <c r="K88" i="15"/>
  <c r="Q85" i="4"/>
  <c r="S85" i="4" s="1"/>
  <c r="AC85" i="4"/>
  <c r="H86" i="4"/>
  <c r="AH87" i="15" l="1"/>
  <c r="D88" i="15" s="1"/>
  <c r="B88" i="15"/>
  <c r="AK87" i="15"/>
  <c r="AJ87" i="15"/>
  <c r="AL87" i="15"/>
  <c r="K86" i="4"/>
  <c r="AD85" i="4"/>
  <c r="AE85" i="4" s="1"/>
  <c r="AI85" i="4"/>
  <c r="AJ85" i="4" s="1"/>
  <c r="AG85" i="4"/>
  <c r="C86" i="4" s="1"/>
  <c r="AF85" i="4"/>
  <c r="T85" i="4"/>
  <c r="O88" i="15"/>
  <c r="I88" i="15" l="1"/>
  <c r="U88" i="15"/>
  <c r="V88" i="15" s="1"/>
  <c r="L88" i="15"/>
  <c r="M88" i="15" s="1"/>
  <c r="AL86" i="4"/>
  <c r="AH85" i="4"/>
  <c r="D86" i="4" s="1"/>
  <c r="AK86" i="4"/>
  <c r="B86" i="4"/>
  <c r="O87" i="4"/>
  <c r="E88" i="15"/>
  <c r="F88" i="15" l="1"/>
  <c r="N88" i="15"/>
  <c r="Q88" i="15" s="1"/>
  <c r="P88" i="15"/>
  <c r="Y88" i="15"/>
  <c r="W88" i="15"/>
  <c r="L86" i="4"/>
  <c r="U86" i="4" s="1"/>
  <c r="V86" i="4" s="1"/>
  <c r="I86" i="4"/>
  <c r="Z88" i="15"/>
  <c r="E86" i="4"/>
  <c r="R88" i="15"/>
  <c r="X88" i="15" l="1"/>
  <c r="AA88" i="15" s="1"/>
  <c r="AB88" i="15" s="1"/>
  <c r="S88" i="15"/>
  <c r="G88" i="15"/>
  <c r="F86" i="4"/>
  <c r="W86" i="4"/>
  <c r="Y86" i="4"/>
  <c r="M86" i="4"/>
  <c r="AC88" i="15"/>
  <c r="Z86" i="4"/>
  <c r="H89" i="15"/>
  <c r="J89" i="15" l="1"/>
  <c r="AF88" i="15"/>
  <c r="AD88" i="15"/>
  <c r="AE88" i="15" s="1"/>
  <c r="AG88" i="15"/>
  <c r="C89" i="15" s="1"/>
  <c r="AI88" i="15"/>
  <c r="T88" i="15"/>
  <c r="K89" i="15"/>
  <c r="X86" i="4"/>
  <c r="AA86" i="4" s="1"/>
  <c r="AB86" i="4" s="1"/>
  <c r="N86" i="4"/>
  <c r="G86" i="4" s="1"/>
  <c r="P86" i="4"/>
  <c r="R86" i="4"/>
  <c r="AH88" i="15" l="1"/>
  <c r="D89" i="15" s="1"/>
  <c r="B89" i="15"/>
  <c r="AL88" i="15"/>
  <c r="AJ88" i="15"/>
  <c r="AK88" i="15"/>
  <c r="Q86" i="4"/>
  <c r="S86" i="4" s="1"/>
  <c r="H87" i="4"/>
  <c r="O89" i="15"/>
  <c r="AC86" i="4"/>
  <c r="I89" i="15" l="1"/>
  <c r="U89" i="15"/>
  <c r="V89" i="15" s="1"/>
  <c r="L89" i="15"/>
  <c r="M89" i="15" s="1"/>
  <c r="K87" i="4"/>
  <c r="AD86" i="4"/>
  <c r="AE86" i="4" s="1"/>
  <c r="AI86" i="4"/>
  <c r="AJ86" i="4" s="1"/>
  <c r="AG86" i="4"/>
  <c r="C87" i="4" s="1"/>
  <c r="AF86" i="4"/>
  <c r="T86" i="4"/>
  <c r="E89" i="15"/>
  <c r="F89" i="15" l="1"/>
  <c r="N89" i="15"/>
  <c r="P89" i="15"/>
  <c r="W89" i="15"/>
  <c r="Y89" i="15"/>
  <c r="AH86" i="4"/>
  <c r="D87" i="4" s="1"/>
  <c r="L87" i="4" s="1"/>
  <c r="U87" i="4" s="1"/>
  <c r="V87" i="4" s="1"/>
  <c r="B87" i="4"/>
  <c r="AL87" i="4"/>
  <c r="AK87" i="4"/>
  <c r="Z89" i="15"/>
  <c r="R89" i="15"/>
  <c r="O88" i="4"/>
  <c r="W87" i="4" l="1"/>
  <c r="X89" i="15"/>
  <c r="AA89" i="15" s="1"/>
  <c r="AB89" i="15" s="1"/>
  <c r="Q89" i="15"/>
  <c r="S89" i="15" s="1"/>
  <c r="G89" i="15"/>
  <c r="M87" i="4"/>
  <c r="N87" i="4" s="1"/>
  <c r="I87" i="4"/>
  <c r="Y87" i="4"/>
  <c r="AC89" i="15"/>
  <c r="Z87" i="4"/>
  <c r="E87" i="4"/>
  <c r="H90" i="15"/>
  <c r="J90" i="15" l="1"/>
  <c r="AG89" i="15"/>
  <c r="C90" i="15" s="1"/>
  <c r="AF89" i="15"/>
  <c r="AI89" i="15"/>
  <c r="AD89" i="15"/>
  <c r="AE89" i="15" s="1"/>
  <c r="T89" i="15"/>
  <c r="K90" i="15"/>
  <c r="P87" i="4"/>
  <c r="F87" i="4"/>
  <c r="Q87" i="4"/>
  <c r="R87" i="4"/>
  <c r="AH89" i="15" l="1"/>
  <c r="D90" i="15" s="1"/>
  <c r="B90" i="15"/>
  <c r="AK89" i="15"/>
  <c r="AJ89" i="15"/>
  <c r="AL89" i="15"/>
  <c r="S87" i="4"/>
  <c r="T87" i="4" s="1"/>
  <c r="G87" i="4"/>
  <c r="X87" i="4"/>
  <c r="AA87" i="4" s="1"/>
  <c r="AB87" i="4" s="1"/>
  <c r="O90" i="15"/>
  <c r="AC87" i="4"/>
  <c r="H88" i="4"/>
  <c r="I90" i="15" l="1"/>
  <c r="U90" i="15"/>
  <c r="V90" i="15" s="1"/>
  <c r="L90" i="15"/>
  <c r="M90" i="15" s="1"/>
  <c r="AD87" i="4"/>
  <c r="AE87" i="4" s="1"/>
  <c r="AI87" i="4"/>
  <c r="AJ87" i="4" s="1"/>
  <c r="AG87" i="4"/>
  <c r="C88" i="4" s="1"/>
  <c r="AF87" i="4"/>
  <c r="B88" i="4" s="1"/>
  <c r="K88" i="4"/>
  <c r="E90" i="15"/>
  <c r="O89" i="4"/>
  <c r="F90" i="15" l="1"/>
  <c r="N90" i="15"/>
  <c r="P90" i="15"/>
  <c r="W90" i="15"/>
  <c r="Y90" i="15"/>
  <c r="AL88" i="4"/>
  <c r="AH87" i="4"/>
  <c r="D88" i="4" s="1"/>
  <c r="L88" i="4" s="1"/>
  <c r="U88" i="4" s="1"/>
  <c r="V88" i="4" s="1"/>
  <c r="AK88" i="4"/>
  <c r="I88" i="4"/>
  <c r="R90" i="15"/>
  <c r="E88" i="4"/>
  <c r="Z90" i="15"/>
  <c r="X90" i="15" l="1"/>
  <c r="AA90" i="15" s="1"/>
  <c r="AB90" i="15" s="1"/>
  <c r="Q90" i="15"/>
  <c r="S90" i="15" s="1"/>
  <c r="G90" i="15"/>
  <c r="F88" i="4"/>
  <c r="Y88" i="4"/>
  <c r="W88" i="4"/>
  <c r="M88" i="4"/>
  <c r="H91" i="15"/>
  <c r="Z88" i="4"/>
  <c r="AC90" i="15"/>
  <c r="J91" i="15" l="1"/>
  <c r="AG90" i="15"/>
  <c r="C91" i="15" s="1"/>
  <c r="AF90" i="15"/>
  <c r="AD90" i="15"/>
  <c r="AE90" i="15" s="1"/>
  <c r="AI90" i="15"/>
  <c r="K91" i="15"/>
  <c r="T90" i="15"/>
  <c r="X88" i="4"/>
  <c r="AA88" i="4" s="1"/>
  <c r="AB88" i="4" s="1"/>
  <c r="N88" i="4"/>
  <c r="Q88" i="4" s="1"/>
  <c r="P88" i="4"/>
  <c r="R88" i="4"/>
  <c r="B91" i="15" l="1"/>
  <c r="AH90" i="15"/>
  <c r="D91" i="15" s="1"/>
  <c r="AJ90" i="15"/>
  <c r="AK90" i="15"/>
  <c r="AL90" i="15"/>
  <c r="G88" i="4"/>
  <c r="S88" i="4"/>
  <c r="AC88" i="4"/>
  <c r="H89" i="4"/>
  <c r="O91" i="15"/>
  <c r="U91" i="15" l="1"/>
  <c r="V91" i="15" s="1"/>
  <c r="L91" i="15"/>
  <c r="M91" i="15" s="1"/>
  <c r="I91" i="15"/>
  <c r="K89" i="4"/>
  <c r="AF88" i="4"/>
  <c r="AD88" i="4"/>
  <c r="AE88" i="4" s="1"/>
  <c r="AI88" i="4"/>
  <c r="AJ88" i="4" s="1"/>
  <c r="AG88" i="4"/>
  <c r="C89" i="4" s="1"/>
  <c r="T88" i="4"/>
  <c r="E91" i="15"/>
  <c r="F91" i="15" l="1"/>
  <c r="P91" i="15"/>
  <c r="N91" i="15"/>
  <c r="Y91" i="15"/>
  <c r="W91" i="15"/>
  <c r="B89" i="4"/>
  <c r="AH88" i="4"/>
  <c r="D89" i="4" s="1"/>
  <c r="AK89" i="4"/>
  <c r="AL89" i="4"/>
  <c r="R91" i="15"/>
  <c r="Z91" i="15"/>
  <c r="O90" i="4"/>
  <c r="X91" i="15" l="1"/>
  <c r="AA91" i="15" s="1"/>
  <c r="AB91" i="15" s="1"/>
  <c r="Q91" i="15"/>
  <c r="S91" i="15" s="1"/>
  <c r="G91" i="15"/>
  <c r="I89" i="4"/>
  <c r="L89" i="4"/>
  <c r="U89" i="4" s="1"/>
  <c r="V89" i="4" s="1"/>
  <c r="H92" i="15"/>
  <c r="AC91" i="15"/>
  <c r="E89" i="4"/>
  <c r="J92" i="15" l="1"/>
  <c r="AG91" i="15"/>
  <c r="C92" i="15" s="1"/>
  <c r="AI91" i="15"/>
  <c r="AF91" i="15"/>
  <c r="AD91" i="15"/>
  <c r="AE91" i="15" s="1"/>
  <c r="T91" i="15"/>
  <c r="K92" i="15"/>
  <c r="M89" i="4"/>
  <c r="N89" i="4" s="1"/>
  <c r="F89" i="4"/>
  <c r="Y89" i="4"/>
  <c r="W89" i="4"/>
  <c r="Z89" i="4"/>
  <c r="P89" i="4" l="1"/>
  <c r="AK91" i="15"/>
  <c r="AL91" i="15"/>
  <c r="AJ91" i="15"/>
  <c r="AH91" i="15"/>
  <c r="D92" i="15" s="1"/>
  <c r="B92" i="15"/>
  <c r="X89" i="4"/>
  <c r="AA89" i="4" s="1"/>
  <c r="AB89" i="4" s="1"/>
  <c r="G89" i="4"/>
  <c r="Q89" i="4"/>
  <c r="O92" i="15"/>
  <c r="R89" i="4"/>
  <c r="S89" i="4" l="1"/>
  <c r="U92" i="15"/>
  <c r="V92" i="15" s="1"/>
  <c r="L92" i="15"/>
  <c r="M92" i="15" s="1"/>
  <c r="I92" i="15"/>
  <c r="E92" i="15"/>
  <c r="AC89" i="4"/>
  <c r="H90" i="4"/>
  <c r="AD89" i="4" l="1"/>
  <c r="AE89" i="4" s="1"/>
  <c r="AI89" i="4"/>
  <c r="AJ89" i="4" s="1"/>
  <c r="AG89" i="4"/>
  <c r="C90" i="4" s="1"/>
  <c r="AF89" i="4"/>
  <c r="B90" i="4" s="1"/>
  <c r="K90" i="4"/>
  <c r="T89" i="4"/>
  <c r="F92" i="15"/>
  <c r="N92" i="15"/>
  <c r="P92" i="15"/>
  <c r="Y92" i="15"/>
  <c r="W92" i="15"/>
  <c r="Z92" i="15"/>
  <c r="R92" i="15"/>
  <c r="O91" i="4"/>
  <c r="X92" i="15" l="1"/>
  <c r="AK90" i="4"/>
  <c r="I90" i="4"/>
  <c r="AL90" i="4"/>
  <c r="AH89" i="4"/>
  <c r="D90" i="4" s="1"/>
  <c r="L90" i="4" s="1"/>
  <c r="U90" i="4" s="1"/>
  <c r="V90" i="4" s="1"/>
  <c r="Q92" i="15"/>
  <c r="S92" i="15" s="1"/>
  <c r="AA92" i="15"/>
  <c r="AB92" i="15" s="1"/>
  <c r="G92" i="15"/>
  <c r="AC92" i="15"/>
  <c r="H93" i="15"/>
  <c r="E90" i="4"/>
  <c r="F90" i="4" l="1"/>
  <c r="J93" i="15"/>
  <c r="AG92" i="15"/>
  <c r="C93" i="15" s="1"/>
  <c r="AF92" i="15"/>
  <c r="AI92" i="15"/>
  <c r="AD92" i="15"/>
  <c r="AE92" i="15" s="1"/>
  <c r="K93" i="15"/>
  <c r="T92" i="15"/>
  <c r="M90" i="4"/>
  <c r="P90" i="4" s="1"/>
  <c r="W90" i="4"/>
  <c r="Y90" i="4"/>
  <c r="Z90" i="4"/>
  <c r="R90" i="4"/>
  <c r="X90" i="4" l="1"/>
  <c r="AA90" i="4" s="1"/>
  <c r="AB90" i="4" s="1"/>
  <c r="AJ92" i="15"/>
  <c r="AK92" i="15"/>
  <c r="AL92" i="15"/>
  <c r="AH92" i="15"/>
  <c r="D93" i="15" s="1"/>
  <c r="B93" i="15"/>
  <c r="N90" i="4"/>
  <c r="Q90" i="4" s="1"/>
  <c r="S90" i="4" s="1"/>
  <c r="T90" i="4" s="1"/>
  <c r="AC90" i="4"/>
  <c r="O93" i="15"/>
  <c r="H91" i="4"/>
  <c r="U93" i="15" l="1"/>
  <c r="V93" i="15" s="1"/>
  <c r="L93" i="15"/>
  <c r="M93" i="15" s="1"/>
  <c r="I93" i="15"/>
  <c r="G90" i="4"/>
  <c r="K91" i="4"/>
  <c r="AD90" i="4"/>
  <c r="AE90" i="4" s="1"/>
  <c r="AI90" i="4"/>
  <c r="AJ90" i="4" s="1"/>
  <c r="AF90" i="4"/>
  <c r="AG90" i="4"/>
  <c r="C91" i="4" s="1"/>
  <c r="E93" i="15"/>
  <c r="F93" i="15" l="1"/>
  <c r="P93" i="15"/>
  <c r="N93" i="15"/>
  <c r="W93" i="15"/>
  <c r="Y93" i="15"/>
  <c r="AH90" i="4"/>
  <c r="D91" i="4" s="1"/>
  <c r="AL91" i="4"/>
  <c r="AK91" i="4"/>
  <c r="B91" i="4"/>
  <c r="Z93" i="15"/>
  <c r="R93" i="15"/>
  <c r="O92" i="4"/>
  <c r="X93" i="15" l="1"/>
  <c r="AA93" i="15" s="1"/>
  <c r="AB93" i="15" s="1"/>
  <c r="Q93" i="15"/>
  <c r="S93" i="15" s="1"/>
  <c r="G93" i="15"/>
  <c r="L91" i="4"/>
  <c r="U91" i="4" s="1"/>
  <c r="V91" i="4" s="1"/>
  <c r="W91" i="4" s="1"/>
  <c r="I91" i="4"/>
  <c r="AC93" i="15"/>
  <c r="H94" i="15"/>
  <c r="E91" i="4"/>
  <c r="J94" i="15" l="1"/>
  <c r="AG93" i="15"/>
  <c r="C94" i="15" s="1"/>
  <c r="AD93" i="15"/>
  <c r="AE93" i="15" s="1"/>
  <c r="AF93" i="15"/>
  <c r="AI93" i="15"/>
  <c r="T93" i="15"/>
  <c r="K94" i="15"/>
  <c r="Y91" i="4"/>
  <c r="M91" i="4"/>
  <c r="F91" i="4"/>
  <c r="Z91" i="4"/>
  <c r="B94" i="15" l="1"/>
  <c r="AH93" i="15"/>
  <c r="D94" i="15" s="1"/>
  <c r="AL93" i="15"/>
  <c r="AK93" i="15"/>
  <c r="AJ93" i="15"/>
  <c r="P91" i="4"/>
  <c r="N91" i="4"/>
  <c r="G91" i="4" s="1"/>
  <c r="X91" i="4"/>
  <c r="AA91" i="4" s="1"/>
  <c r="AB91" i="4" s="1"/>
  <c r="O94" i="15"/>
  <c r="R91" i="4"/>
  <c r="U94" i="15" l="1"/>
  <c r="V94" i="15" s="1"/>
  <c r="L94" i="15"/>
  <c r="M94" i="15" s="1"/>
  <c r="I94" i="15"/>
  <c r="Q91" i="4"/>
  <c r="S91" i="4" s="1"/>
  <c r="AC91" i="4"/>
  <c r="E94" i="15"/>
  <c r="H92" i="4"/>
  <c r="F94" i="15" l="1"/>
  <c r="N94" i="15"/>
  <c r="P94" i="15"/>
  <c r="W94" i="15"/>
  <c r="Y94" i="15"/>
  <c r="K92" i="4"/>
  <c r="AG91" i="4"/>
  <c r="C92" i="4" s="1"/>
  <c r="AD91" i="4"/>
  <c r="AE91" i="4" s="1"/>
  <c r="AI91" i="4"/>
  <c r="AJ91" i="4" s="1"/>
  <c r="AF91" i="4"/>
  <c r="T91" i="4"/>
  <c r="Z94" i="15"/>
  <c r="R94" i="15"/>
  <c r="X94" i="15" l="1"/>
  <c r="AA94" i="15" s="1"/>
  <c r="AB94" i="15" s="1"/>
  <c r="AH91" i="4"/>
  <c r="D92" i="4" s="1"/>
  <c r="L92" i="4" s="1"/>
  <c r="U92" i="4" s="1"/>
  <c r="V92" i="4" s="1"/>
  <c r="Q94" i="15"/>
  <c r="S94" i="15" s="1"/>
  <c r="G94" i="15"/>
  <c r="B92" i="4"/>
  <c r="AK92" i="4"/>
  <c r="AL92" i="4"/>
  <c r="AC94" i="15"/>
  <c r="O93" i="4"/>
  <c r="H95" i="15"/>
  <c r="J95" i="15" l="1"/>
  <c r="AF94" i="15"/>
  <c r="AI94" i="15"/>
  <c r="AD94" i="15"/>
  <c r="AE94" i="15" s="1"/>
  <c r="AG94" i="15"/>
  <c r="C95" i="15" s="1"/>
  <c r="T94" i="15"/>
  <c r="K95" i="15"/>
  <c r="M92" i="4"/>
  <c r="N92" i="4" s="1"/>
  <c r="W92" i="4"/>
  <c r="Y92" i="4"/>
  <c r="I92" i="4"/>
  <c r="E92" i="4"/>
  <c r="Z92" i="4"/>
  <c r="P92" i="4" l="1"/>
  <c r="AJ94" i="15"/>
  <c r="AL94" i="15"/>
  <c r="AK94" i="15"/>
  <c r="B95" i="15"/>
  <c r="AH94" i="15"/>
  <c r="D95" i="15" s="1"/>
  <c r="F92" i="4"/>
  <c r="X92" i="4" s="1"/>
  <c r="AA92" i="4" s="1"/>
  <c r="AB92" i="4" s="1"/>
  <c r="Q92" i="4"/>
  <c r="O95" i="15"/>
  <c r="R92" i="4"/>
  <c r="S92" i="4" l="1"/>
  <c r="T92" i="4" s="1"/>
  <c r="I95" i="15"/>
  <c r="L95" i="15"/>
  <c r="M95" i="15" s="1"/>
  <c r="U95" i="15"/>
  <c r="V95" i="15" s="1"/>
  <c r="G92" i="4"/>
  <c r="AC92" i="4"/>
  <c r="H93" i="4"/>
  <c r="E95" i="15"/>
  <c r="K93" i="4" l="1"/>
  <c r="AG92" i="4"/>
  <c r="C93" i="4" s="1"/>
  <c r="AF92" i="4"/>
  <c r="AD92" i="4"/>
  <c r="AE92" i="4" s="1"/>
  <c r="AI92" i="4"/>
  <c r="AJ92" i="4" s="1"/>
  <c r="F95" i="15"/>
  <c r="P95" i="15"/>
  <c r="N95" i="15"/>
  <c r="W95" i="15"/>
  <c r="Y95" i="15"/>
  <c r="R95" i="15"/>
  <c r="Z95" i="15"/>
  <c r="AL93" i="4" l="1"/>
  <c r="AH92" i="4"/>
  <c r="D93" i="4" s="1"/>
  <c r="L93" i="4" s="1"/>
  <c r="U93" i="4" s="1"/>
  <c r="V93" i="4" s="1"/>
  <c r="AK93" i="4"/>
  <c r="B93" i="4"/>
  <c r="I93" i="4" s="1"/>
  <c r="X95" i="15"/>
  <c r="AA95" i="15" s="1"/>
  <c r="AB95" i="15" s="1"/>
  <c r="Q95" i="15"/>
  <c r="S95" i="15" s="1"/>
  <c r="G95" i="15"/>
  <c r="AC95" i="15"/>
  <c r="E93" i="4"/>
  <c r="O94" i="4"/>
  <c r="H96" i="15"/>
  <c r="J96" i="15" l="1"/>
  <c r="AG95" i="15"/>
  <c r="C96" i="15" s="1"/>
  <c r="AF95" i="15"/>
  <c r="AD95" i="15"/>
  <c r="AE95" i="15" s="1"/>
  <c r="AI95" i="15"/>
  <c r="T95" i="15"/>
  <c r="K96" i="15"/>
  <c r="M93" i="4"/>
  <c r="P93" i="4" s="1"/>
  <c r="F93" i="4"/>
  <c r="W93" i="4"/>
  <c r="Y93" i="4"/>
  <c r="R93" i="4"/>
  <c r="Z93" i="4"/>
  <c r="B96" i="15" l="1"/>
  <c r="AH95" i="15"/>
  <c r="D96" i="15" s="1"/>
  <c r="AK95" i="15"/>
  <c r="AJ95" i="15"/>
  <c r="AL95" i="15"/>
  <c r="N93" i="4"/>
  <c r="Q93" i="4" s="1"/>
  <c r="S93" i="4" s="1"/>
  <c r="T93" i="4" s="1"/>
  <c r="X93" i="4"/>
  <c r="AA93" i="4" s="1"/>
  <c r="AB93" i="4" s="1"/>
  <c r="AC93" i="4"/>
  <c r="H94" i="4"/>
  <c r="O96" i="15"/>
  <c r="U96" i="15" l="1"/>
  <c r="V96" i="15" s="1"/>
  <c r="L96" i="15"/>
  <c r="M96" i="15" s="1"/>
  <c r="I96" i="15"/>
  <c r="G93" i="4"/>
  <c r="K94" i="4"/>
  <c r="AI93" i="4"/>
  <c r="AJ93" i="4" s="1"/>
  <c r="AD93" i="4"/>
  <c r="AE93" i="4" s="1"/>
  <c r="AG93" i="4"/>
  <c r="C94" i="4" s="1"/>
  <c r="AF93" i="4"/>
  <c r="E96" i="15"/>
  <c r="F96" i="15" l="1"/>
  <c r="P96" i="15"/>
  <c r="N96" i="15"/>
  <c r="Y96" i="15"/>
  <c r="W96" i="15"/>
  <c r="X96" i="15" s="1"/>
  <c r="AL94" i="4"/>
  <c r="AK94" i="4"/>
  <c r="B94" i="4"/>
  <c r="AH93" i="4"/>
  <c r="D94" i="4" s="1"/>
  <c r="O95" i="4"/>
  <c r="Z96" i="15"/>
  <c r="R96" i="15"/>
  <c r="Q96" i="15" l="1"/>
  <c r="S96" i="15" s="1"/>
  <c r="AA96" i="15"/>
  <c r="AB96" i="15" s="1"/>
  <c r="G96" i="15"/>
  <c r="I94" i="4"/>
  <c r="L94" i="4"/>
  <c r="U94" i="4" s="1"/>
  <c r="V94" i="4" s="1"/>
  <c r="H97" i="15"/>
  <c r="E94" i="4"/>
  <c r="AC96" i="15"/>
  <c r="J97" i="15" l="1"/>
  <c r="AG96" i="15"/>
  <c r="C97" i="15" s="1"/>
  <c r="AI96" i="15"/>
  <c r="AD96" i="15"/>
  <c r="AE96" i="15" s="1"/>
  <c r="AF96" i="15"/>
  <c r="T96" i="15"/>
  <c r="K97" i="15"/>
  <c r="F94" i="4"/>
  <c r="Y94" i="4"/>
  <c r="W94" i="4"/>
  <c r="M94" i="4"/>
  <c r="Z94" i="4"/>
  <c r="AJ96" i="15" l="1"/>
  <c r="AL96" i="15"/>
  <c r="AK96" i="15"/>
  <c r="B97" i="15"/>
  <c r="AH96" i="15"/>
  <c r="D97" i="15" s="1"/>
  <c r="X94" i="4"/>
  <c r="AA94" i="4" s="1"/>
  <c r="AB94" i="4" s="1"/>
  <c r="P94" i="4"/>
  <c r="N94" i="4"/>
  <c r="G94" i="4" s="1"/>
  <c r="O97" i="15"/>
  <c r="R94" i="4"/>
  <c r="I97" i="15" l="1"/>
  <c r="U97" i="15"/>
  <c r="V97" i="15" s="1"/>
  <c r="L97" i="15"/>
  <c r="M97" i="15" s="1"/>
  <c r="Q94" i="4"/>
  <c r="S94" i="4" s="1"/>
  <c r="E97" i="15"/>
  <c r="AC94" i="4"/>
  <c r="H95" i="4"/>
  <c r="F97" i="15" l="1"/>
  <c r="W97" i="15"/>
  <c r="Y97" i="15"/>
  <c r="N97" i="15"/>
  <c r="P97" i="15"/>
  <c r="K95" i="4"/>
  <c r="AD94" i="4"/>
  <c r="AE94" i="4" s="1"/>
  <c r="AI94" i="4"/>
  <c r="AJ94" i="4" s="1"/>
  <c r="AG94" i="4"/>
  <c r="C95" i="4" s="1"/>
  <c r="AF94" i="4"/>
  <c r="T94" i="4"/>
  <c r="R97" i="15"/>
  <c r="Z97" i="15"/>
  <c r="X97" i="15" l="1"/>
  <c r="AA97" i="15" s="1"/>
  <c r="AB97" i="15" s="1"/>
  <c r="Q97" i="15"/>
  <c r="S97" i="15" s="1"/>
  <c r="G97" i="15"/>
  <c r="AH94" i="4"/>
  <c r="D95" i="4" s="1"/>
  <c r="B95" i="4"/>
  <c r="AL95" i="4"/>
  <c r="AK95" i="4"/>
  <c r="H98" i="15"/>
  <c r="O96" i="4"/>
  <c r="AC97" i="15"/>
  <c r="J98" i="15" l="1"/>
  <c r="AF97" i="15"/>
  <c r="AI97" i="15"/>
  <c r="AD97" i="15"/>
  <c r="AE97" i="15" s="1"/>
  <c r="AG97" i="15"/>
  <c r="C98" i="15" s="1"/>
  <c r="T97" i="15"/>
  <c r="K98" i="15"/>
  <c r="L95" i="4"/>
  <c r="U95" i="4" s="1"/>
  <c r="V95" i="4" s="1"/>
  <c r="W95" i="4" s="1"/>
  <c r="I95" i="4"/>
  <c r="E95" i="4"/>
  <c r="B98" i="15" l="1"/>
  <c r="AH97" i="15"/>
  <c r="D98" i="15" s="1"/>
  <c r="AJ97" i="15"/>
  <c r="AL97" i="15"/>
  <c r="AK97" i="15"/>
  <c r="Y95" i="4"/>
  <c r="M95" i="4"/>
  <c r="F95" i="4"/>
  <c r="O98" i="15"/>
  <c r="Z95" i="4"/>
  <c r="U98" i="15" l="1"/>
  <c r="V98" i="15" s="1"/>
  <c r="L98" i="15"/>
  <c r="M98" i="15" s="1"/>
  <c r="I98" i="15"/>
  <c r="P95" i="4"/>
  <c r="N95" i="4"/>
  <c r="X95" i="4"/>
  <c r="AA95" i="4" s="1"/>
  <c r="AB95" i="4" s="1"/>
  <c r="R95" i="4"/>
  <c r="E98" i="15"/>
  <c r="F98" i="15" l="1"/>
  <c r="Y98" i="15"/>
  <c r="W98" i="15"/>
  <c r="P98" i="15"/>
  <c r="N98" i="15"/>
  <c r="G95" i="4"/>
  <c r="Q95" i="4"/>
  <c r="S95" i="4" s="1"/>
  <c r="R98" i="15"/>
  <c r="AC95" i="4"/>
  <c r="Z98" i="15"/>
  <c r="H96" i="4"/>
  <c r="X98" i="15" l="1"/>
  <c r="AA98" i="15" s="1"/>
  <c r="AB98" i="15" s="1"/>
  <c r="Q98" i="15"/>
  <c r="S98" i="15" s="1"/>
  <c r="G98" i="15"/>
  <c r="K96" i="4"/>
  <c r="AG95" i="4"/>
  <c r="C96" i="4" s="1"/>
  <c r="AI95" i="4"/>
  <c r="AJ95" i="4" s="1"/>
  <c r="AD95" i="4"/>
  <c r="AE95" i="4" s="1"/>
  <c r="AF95" i="4"/>
  <c r="B96" i="4" s="1"/>
  <c r="T95" i="4"/>
  <c r="H99" i="15"/>
  <c r="AC98" i="15"/>
  <c r="O97" i="4"/>
  <c r="J99" i="15" l="1"/>
  <c r="AF98" i="15"/>
  <c r="AI98" i="15"/>
  <c r="AD98" i="15"/>
  <c r="AE98" i="15" s="1"/>
  <c r="AG98" i="15"/>
  <c r="C99" i="15" s="1"/>
  <c r="T98" i="15"/>
  <c r="K99" i="15"/>
  <c r="I96" i="4"/>
  <c r="AL96" i="4"/>
  <c r="AH95" i="4"/>
  <c r="D96" i="4" s="1"/>
  <c r="AK96" i="4"/>
  <c r="E96" i="4"/>
  <c r="B99" i="15" l="1"/>
  <c r="AH98" i="15"/>
  <c r="D99" i="15" s="1"/>
  <c r="AL98" i="15"/>
  <c r="AK98" i="15"/>
  <c r="AJ98" i="15"/>
  <c r="F96" i="4"/>
  <c r="L96" i="4"/>
  <c r="U96" i="4" s="1"/>
  <c r="V96" i="4" s="1"/>
  <c r="O99" i="15"/>
  <c r="U99" i="15" l="1"/>
  <c r="V99" i="15" s="1"/>
  <c r="L99" i="15"/>
  <c r="M99" i="15" s="1"/>
  <c r="I99" i="15"/>
  <c r="M96" i="4"/>
  <c r="N96" i="4" s="1"/>
  <c r="Y96" i="4"/>
  <c r="W96" i="4"/>
  <c r="X96" i="4" s="1"/>
  <c r="Z96" i="4"/>
  <c r="E99" i="15"/>
  <c r="F99" i="15" l="1"/>
  <c r="P99" i="15"/>
  <c r="N99" i="15"/>
  <c r="Y99" i="15"/>
  <c r="W99" i="15"/>
  <c r="P96" i="4"/>
  <c r="AA96" i="4"/>
  <c r="AB96" i="4" s="1"/>
  <c r="G96" i="4"/>
  <c r="Q96" i="4"/>
  <c r="R99" i="15"/>
  <c r="R96" i="4"/>
  <c r="Z99" i="15"/>
  <c r="X99" i="15" l="1"/>
  <c r="AA99" i="15" s="1"/>
  <c r="AB99" i="15" s="1"/>
  <c r="Q99" i="15"/>
  <c r="S99" i="15" s="1"/>
  <c r="G99" i="15"/>
  <c r="S96" i="4"/>
  <c r="H97" i="4"/>
  <c r="AC96" i="4"/>
  <c r="AC99" i="15"/>
  <c r="H100" i="15"/>
  <c r="J100" i="15" l="1"/>
  <c r="AG99" i="15"/>
  <c r="C100" i="15" s="1"/>
  <c r="AI99" i="15"/>
  <c r="AF99" i="15"/>
  <c r="AD99" i="15"/>
  <c r="AE99" i="15" s="1"/>
  <c r="T99" i="15"/>
  <c r="K100" i="15"/>
  <c r="AF96" i="4"/>
  <c r="B97" i="4" s="1"/>
  <c r="AD96" i="4"/>
  <c r="AE96" i="4" s="1"/>
  <c r="AG96" i="4"/>
  <c r="C97" i="4" s="1"/>
  <c r="AI96" i="4"/>
  <c r="AJ96" i="4" s="1"/>
  <c r="K97" i="4"/>
  <c r="T96" i="4"/>
  <c r="O98" i="4"/>
  <c r="B100" i="15" l="1"/>
  <c r="AH99" i="15"/>
  <c r="D100" i="15" s="1"/>
  <c r="AK99" i="15"/>
  <c r="AJ99" i="15"/>
  <c r="AL99" i="15"/>
  <c r="AL97" i="4"/>
  <c r="AH96" i="4"/>
  <c r="D97" i="4" s="1"/>
  <c r="L97" i="4" s="1"/>
  <c r="U97" i="4" s="1"/>
  <c r="V97" i="4" s="1"/>
  <c r="W97" i="4" s="1"/>
  <c r="AK97" i="4"/>
  <c r="I97" i="4"/>
  <c r="O100" i="15"/>
  <c r="E97" i="4"/>
  <c r="U100" i="15" l="1"/>
  <c r="V100" i="15" s="1"/>
  <c r="L100" i="15"/>
  <c r="M100" i="15" s="1"/>
  <c r="I100" i="15"/>
  <c r="M97" i="4"/>
  <c r="P97" i="4" s="1"/>
  <c r="Y97" i="4"/>
  <c r="F97" i="4"/>
  <c r="R97" i="4"/>
  <c r="Z97" i="4"/>
  <c r="E100" i="15"/>
  <c r="F100" i="15" l="1"/>
  <c r="P100" i="15"/>
  <c r="N100" i="15"/>
  <c r="W100" i="15"/>
  <c r="Y100" i="15"/>
  <c r="N97" i="4"/>
  <c r="Q97" i="4" s="1"/>
  <c r="S97" i="4" s="1"/>
  <c r="X97" i="4"/>
  <c r="AA97" i="4" s="1"/>
  <c r="AB97" i="4" s="1"/>
  <c r="R100" i="15"/>
  <c r="H98" i="4"/>
  <c r="Z100" i="15"/>
  <c r="AC97" i="4"/>
  <c r="X100" i="15" l="1"/>
  <c r="AA100" i="15" s="1"/>
  <c r="AB100" i="15" s="1"/>
  <c r="Q100" i="15"/>
  <c r="S100" i="15" s="1"/>
  <c r="G100" i="15"/>
  <c r="T97" i="4"/>
  <c r="G97" i="4"/>
  <c r="K98" i="4"/>
  <c r="AG97" i="4"/>
  <c r="C98" i="4" s="1"/>
  <c r="AD97" i="4"/>
  <c r="AE97" i="4" s="1"/>
  <c r="AI97" i="4"/>
  <c r="AJ97" i="4" s="1"/>
  <c r="AF97" i="4"/>
  <c r="B98" i="4" s="1"/>
  <c r="AC100" i="15"/>
  <c r="H101" i="15"/>
  <c r="O99" i="4"/>
  <c r="J101" i="15" l="1"/>
  <c r="AI100" i="15"/>
  <c r="AD100" i="15"/>
  <c r="AE100" i="15" s="1"/>
  <c r="AF100" i="15"/>
  <c r="AG100" i="15"/>
  <c r="C101" i="15" s="1"/>
  <c r="T100" i="15"/>
  <c r="K101" i="15"/>
  <c r="AK98" i="4"/>
  <c r="AL98" i="4"/>
  <c r="AH97" i="4"/>
  <c r="D98" i="4" s="1"/>
  <c r="L98" i="4" s="1"/>
  <c r="U98" i="4" s="1"/>
  <c r="V98" i="4" s="1"/>
  <c r="Y98" i="4" s="1"/>
  <c r="I98" i="4"/>
  <c r="E98" i="4"/>
  <c r="Z98" i="4"/>
  <c r="AK100" i="15" l="1"/>
  <c r="AL100" i="15"/>
  <c r="AJ100" i="15"/>
  <c r="B101" i="15"/>
  <c r="AH100" i="15"/>
  <c r="D101" i="15" s="1"/>
  <c r="W98" i="4"/>
  <c r="M98" i="4"/>
  <c r="N98" i="4" s="1"/>
  <c r="F98" i="4"/>
  <c r="O101" i="15"/>
  <c r="I101" i="15" l="1"/>
  <c r="L101" i="15"/>
  <c r="M101" i="15" s="1"/>
  <c r="U101" i="15"/>
  <c r="V101" i="15" s="1"/>
  <c r="P98" i="4"/>
  <c r="X98" i="4"/>
  <c r="AA98" i="4" s="1"/>
  <c r="AB98" i="4" s="1"/>
  <c r="Q98" i="4"/>
  <c r="G98" i="4"/>
  <c r="R98" i="4"/>
  <c r="E101" i="15"/>
  <c r="F101" i="15" l="1"/>
  <c r="N101" i="15"/>
  <c r="P101" i="15"/>
  <c r="Y101" i="15"/>
  <c r="W101" i="15"/>
  <c r="S98" i="4"/>
  <c r="T98" i="4" s="1"/>
  <c r="H99" i="4"/>
  <c r="AC98" i="4"/>
  <c r="R101" i="15"/>
  <c r="Z101" i="15"/>
  <c r="X101" i="15" l="1"/>
  <c r="AA101" i="15" s="1"/>
  <c r="AB101" i="15" s="1"/>
  <c r="Q101" i="15"/>
  <c r="S101" i="15" s="1"/>
  <c r="G101" i="15"/>
  <c r="AF98" i="4"/>
  <c r="B99" i="4" s="1"/>
  <c r="AG98" i="4"/>
  <c r="C99" i="4" s="1"/>
  <c r="AI98" i="4"/>
  <c r="AJ98" i="4" s="1"/>
  <c r="AD98" i="4"/>
  <c r="AE98" i="4" s="1"/>
  <c r="K99" i="4"/>
  <c r="H102" i="15"/>
  <c r="AC101" i="15"/>
  <c r="O100" i="4"/>
  <c r="J102" i="15" l="1"/>
  <c r="AD101" i="15"/>
  <c r="AE101" i="15" s="1"/>
  <c r="AG101" i="15"/>
  <c r="C102" i="15" s="1"/>
  <c r="AF101" i="15"/>
  <c r="AI101" i="15"/>
  <c r="T101" i="15"/>
  <c r="K102" i="15"/>
  <c r="AH98" i="4"/>
  <c r="D99" i="4" s="1"/>
  <c r="L99" i="4" s="1"/>
  <c r="U99" i="4" s="1"/>
  <c r="V99" i="4" s="1"/>
  <c r="AK99" i="4"/>
  <c r="AL99" i="4"/>
  <c r="I99" i="4"/>
  <c r="E99" i="4"/>
  <c r="AH101" i="15" l="1"/>
  <c r="D102" i="15" s="1"/>
  <c r="B102" i="15"/>
  <c r="AL101" i="15"/>
  <c r="AK101" i="15"/>
  <c r="AJ101" i="15"/>
  <c r="M99" i="4"/>
  <c r="P99" i="4" s="1"/>
  <c r="F99" i="4"/>
  <c r="W99" i="4"/>
  <c r="Y99" i="4"/>
  <c r="O102" i="15"/>
  <c r="R99" i="4"/>
  <c r="Z99" i="4"/>
  <c r="I102" i="15" l="1"/>
  <c r="U102" i="15"/>
  <c r="V102" i="15" s="1"/>
  <c r="L102" i="15"/>
  <c r="M102" i="15" s="1"/>
  <c r="N99" i="4"/>
  <c r="Q99" i="4" s="1"/>
  <c r="S99" i="4" s="1"/>
  <c r="T99" i="4" s="1"/>
  <c r="X99" i="4"/>
  <c r="AA99" i="4" s="1"/>
  <c r="AB99" i="4" s="1"/>
  <c r="AC99" i="4"/>
  <c r="E102" i="15"/>
  <c r="H100" i="4"/>
  <c r="F102" i="15" l="1"/>
  <c r="P102" i="15"/>
  <c r="N102" i="15"/>
  <c r="W102" i="15"/>
  <c r="Y102" i="15"/>
  <c r="G99" i="4"/>
  <c r="K100" i="4"/>
  <c r="AI99" i="4"/>
  <c r="AJ99" i="4" s="1"/>
  <c r="AD99" i="4"/>
  <c r="AE99" i="4" s="1"/>
  <c r="AG99" i="4"/>
  <c r="C100" i="4" s="1"/>
  <c r="AF99" i="4"/>
  <c r="Z102" i="15"/>
  <c r="R102" i="15"/>
  <c r="X102" i="15" l="1"/>
  <c r="AA102" i="15" s="1"/>
  <c r="AB102" i="15" s="1"/>
  <c r="Q102" i="15"/>
  <c r="S102" i="15" s="1"/>
  <c r="G102" i="15"/>
  <c r="B100" i="4"/>
  <c r="AH99" i="4"/>
  <c r="D100" i="4" s="1"/>
  <c r="AK100" i="4"/>
  <c r="AL100" i="4"/>
  <c r="H103" i="15"/>
  <c r="O101" i="4"/>
  <c r="AC102" i="15"/>
  <c r="J103" i="15" l="1"/>
  <c r="AI102" i="15"/>
  <c r="AG102" i="15"/>
  <c r="C103" i="15" s="1"/>
  <c r="AF102" i="15"/>
  <c r="AD102" i="15"/>
  <c r="AE102" i="15" s="1"/>
  <c r="T102" i="15"/>
  <c r="K103" i="15"/>
  <c r="I100" i="4"/>
  <c r="L100" i="4"/>
  <c r="U100" i="4" s="1"/>
  <c r="V100" i="4" s="1"/>
  <c r="E100" i="4"/>
  <c r="B103" i="15" l="1"/>
  <c r="AH102" i="15"/>
  <c r="D103" i="15" s="1"/>
  <c r="AJ102" i="15"/>
  <c r="AK102" i="15"/>
  <c r="AL102" i="15"/>
  <c r="M100" i="4"/>
  <c r="P100" i="4" s="1"/>
  <c r="F100" i="4"/>
  <c r="W100" i="4"/>
  <c r="Y100" i="4"/>
  <c r="O103" i="15"/>
  <c r="R100" i="4"/>
  <c r="Z100" i="4"/>
  <c r="L103" i="15" l="1"/>
  <c r="M103" i="15" s="1"/>
  <c r="U103" i="15"/>
  <c r="V103" i="15" s="1"/>
  <c r="I103" i="15"/>
  <c r="X100" i="4"/>
  <c r="AA100" i="4" s="1"/>
  <c r="AB100" i="4" s="1"/>
  <c r="N100" i="4"/>
  <c r="Q100" i="4" s="1"/>
  <c r="S100" i="4" s="1"/>
  <c r="E103" i="15"/>
  <c r="H101" i="4"/>
  <c r="AC100" i="4"/>
  <c r="F103" i="15" l="1"/>
  <c r="Y103" i="15"/>
  <c r="W103" i="15"/>
  <c r="P103" i="15"/>
  <c r="N103" i="15"/>
  <c r="G100" i="4"/>
  <c r="K101" i="4"/>
  <c r="AD100" i="4"/>
  <c r="AE100" i="4" s="1"/>
  <c r="AI100" i="4"/>
  <c r="AJ100" i="4" s="1"/>
  <c r="AG100" i="4"/>
  <c r="C101" i="4" s="1"/>
  <c r="AF100" i="4"/>
  <c r="T100" i="4"/>
  <c r="Z103" i="15"/>
  <c r="R103" i="15"/>
  <c r="X103" i="15" l="1"/>
  <c r="AA103" i="15" s="1"/>
  <c r="AB103" i="15" s="1"/>
  <c r="Q103" i="15"/>
  <c r="S103" i="15" s="1"/>
  <c r="G103" i="15"/>
  <c r="AL101" i="4"/>
  <c r="B101" i="4"/>
  <c r="AH100" i="4"/>
  <c r="D101" i="4" s="1"/>
  <c r="AK101" i="4"/>
  <c r="H104" i="15"/>
  <c r="O102" i="4"/>
  <c r="AC103" i="15"/>
  <c r="J104" i="15" l="1"/>
  <c r="AF103" i="15"/>
  <c r="AI103" i="15"/>
  <c r="AD103" i="15"/>
  <c r="AE103" i="15" s="1"/>
  <c r="AG103" i="15"/>
  <c r="C104" i="15" s="1"/>
  <c r="K104" i="15"/>
  <c r="T103" i="15"/>
  <c r="I101" i="4"/>
  <c r="L101" i="4"/>
  <c r="U101" i="4" s="1"/>
  <c r="V101" i="4" s="1"/>
  <c r="E101" i="4"/>
  <c r="AL103" i="15" l="1"/>
  <c r="AK103" i="15"/>
  <c r="AJ103" i="15"/>
  <c r="AH103" i="15"/>
  <c r="D104" i="15" s="1"/>
  <c r="B104" i="15"/>
  <c r="M101" i="4"/>
  <c r="N101" i="4" s="1"/>
  <c r="F101" i="4"/>
  <c r="W101" i="4"/>
  <c r="Y101" i="4"/>
  <c r="O104" i="15"/>
  <c r="Z101" i="4"/>
  <c r="P101" i="4" l="1"/>
  <c r="U104" i="15"/>
  <c r="V104" i="15" s="1"/>
  <c r="L104" i="15"/>
  <c r="M104" i="15" s="1"/>
  <c r="I104" i="15"/>
  <c r="Q101" i="4"/>
  <c r="X101" i="4"/>
  <c r="AA101" i="4" s="1"/>
  <c r="AB101" i="4" s="1"/>
  <c r="G101" i="4"/>
  <c r="R101" i="4"/>
  <c r="E104" i="15"/>
  <c r="S101" i="4" l="1"/>
  <c r="T101" i="4" s="1"/>
  <c r="F104" i="15"/>
  <c r="N104" i="15"/>
  <c r="P104" i="15"/>
  <c r="Y104" i="15"/>
  <c r="W104" i="15"/>
  <c r="X104" i="15" s="1"/>
  <c r="AC101" i="4"/>
  <c r="H102" i="4"/>
  <c r="Z104" i="15"/>
  <c r="R104" i="15"/>
  <c r="AD101" i="4" l="1"/>
  <c r="AE101" i="4" s="1"/>
  <c r="AI101" i="4"/>
  <c r="AJ101" i="4" s="1"/>
  <c r="AF101" i="4"/>
  <c r="B102" i="4" s="1"/>
  <c r="AG101" i="4"/>
  <c r="C102" i="4" s="1"/>
  <c r="K102" i="4"/>
  <c r="Q104" i="15"/>
  <c r="S104" i="15" s="1"/>
  <c r="AA104" i="15"/>
  <c r="AB104" i="15" s="1"/>
  <c r="G104" i="15"/>
  <c r="H105" i="15"/>
  <c r="AC104" i="15"/>
  <c r="O103" i="4"/>
  <c r="AH101" i="4" l="1"/>
  <c r="D102" i="4" s="1"/>
  <c r="L102" i="4" s="1"/>
  <c r="U102" i="4" s="1"/>
  <c r="V102" i="4" s="1"/>
  <c r="AK102" i="4"/>
  <c r="AL102" i="4"/>
  <c r="J105" i="15"/>
  <c r="AI104" i="15"/>
  <c r="AG104" i="15"/>
  <c r="C105" i="15" s="1"/>
  <c r="AF104" i="15"/>
  <c r="AD104" i="15"/>
  <c r="AE104" i="15" s="1"/>
  <c r="T104" i="15"/>
  <c r="K105" i="15"/>
  <c r="I102" i="4"/>
  <c r="E102" i="4"/>
  <c r="AH104" i="15" l="1"/>
  <c r="D105" i="15" s="1"/>
  <c r="B105" i="15"/>
  <c r="AK104" i="15"/>
  <c r="AL104" i="15"/>
  <c r="AJ104" i="15"/>
  <c r="F102" i="4"/>
  <c r="W102" i="4"/>
  <c r="Y102" i="4"/>
  <c r="M102" i="4"/>
  <c r="O105" i="15"/>
  <c r="Z102" i="4"/>
  <c r="I105" i="15" l="1"/>
  <c r="L105" i="15"/>
  <c r="M105" i="15" s="1"/>
  <c r="U105" i="15"/>
  <c r="V105" i="15" s="1"/>
  <c r="X102" i="4"/>
  <c r="AA102" i="4" s="1"/>
  <c r="AB102" i="4" s="1"/>
  <c r="P102" i="4"/>
  <c r="N102" i="4"/>
  <c r="G102" i="4" s="1"/>
  <c r="E105" i="15"/>
  <c r="R102" i="4"/>
  <c r="F105" i="15" l="1"/>
  <c r="W105" i="15"/>
  <c r="Y105" i="15"/>
  <c r="N105" i="15"/>
  <c r="P105" i="15"/>
  <c r="Q102" i="4"/>
  <c r="S102" i="4" s="1"/>
  <c r="AC102" i="4"/>
  <c r="R105" i="15"/>
  <c r="H103" i="4"/>
  <c r="Z105" i="15"/>
  <c r="X105" i="15" l="1"/>
  <c r="AA105" i="15" s="1"/>
  <c r="AB105" i="15" s="1"/>
  <c r="Q105" i="15"/>
  <c r="S105" i="15" s="1"/>
  <c r="T105" i="15" s="1"/>
  <c r="G105" i="15"/>
  <c r="K103" i="4"/>
  <c r="AD102" i="4"/>
  <c r="AE102" i="4" s="1"/>
  <c r="AI102" i="4"/>
  <c r="AJ102" i="4" s="1"/>
  <c r="AG102" i="4"/>
  <c r="C103" i="4" s="1"/>
  <c r="AF102" i="4"/>
  <c r="T102" i="4"/>
  <c r="H106" i="15"/>
  <c r="AC105" i="15"/>
  <c r="J106" i="15" l="1"/>
  <c r="AD105" i="15"/>
  <c r="AE105" i="15" s="1"/>
  <c r="AF105" i="15"/>
  <c r="AG105" i="15"/>
  <c r="C106" i="15" s="1"/>
  <c r="AI105" i="15"/>
  <c r="K106" i="15"/>
  <c r="AK103" i="4"/>
  <c r="B103" i="4"/>
  <c r="AH102" i="4"/>
  <c r="D103" i="4" s="1"/>
  <c r="AL103" i="4"/>
  <c r="O104" i="4"/>
  <c r="AH105" i="15" l="1"/>
  <c r="D106" i="15" s="1"/>
  <c r="B106" i="15"/>
  <c r="AK105" i="15"/>
  <c r="AL105" i="15"/>
  <c r="AJ105" i="15"/>
  <c r="I103" i="4"/>
  <c r="L103" i="4"/>
  <c r="U103" i="4" s="1"/>
  <c r="V103" i="4" s="1"/>
  <c r="E103" i="4"/>
  <c r="O106" i="15"/>
  <c r="I106" i="15" l="1"/>
  <c r="L106" i="15"/>
  <c r="M106" i="15" s="1"/>
  <c r="U106" i="15"/>
  <c r="V106" i="15" s="1"/>
  <c r="M103" i="4"/>
  <c r="N103" i="4" s="1"/>
  <c r="F103" i="4"/>
  <c r="W103" i="4"/>
  <c r="Y103" i="4"/>
  <c r="Z103" i="4"/>
  <c r="E106" i="15"/>
  <c r="F106" i="15" l="1"/>
  <c r="Y106" i="15"/>
  <c r="W106" i="15"/>
  <c r="N106" i="15"/>
  <c r="P106" i="15"/>
  <c r="P103" i="4"/>
  <c r="G103" i="4"/>
  <c r="X103" i="4"/>
  <c r="AA103" i="4" s="1"/>
  <c r="AB103" i="4" s="1"/>
  <c r="Q103" i="4"/>
  <c r="Z106" i="15"/>
  <c r="R106" i="15"/>
  <c r="R103" i="4"/>
  <c r="X106" i="15" l="1"/>
  <c r="AA106" i="15" s="1"/>
  <c r="AB106" i="15" s="1"/>
  <c r="Q106" i="15"/>
  <c r="S106" i="15" s="1"/>
  <c r="G106" i="15"/>
  <c r="S103" i="4"/>
  <c r="AC106" i="15"/>
  <c r="AC103" i="4"/>
  <c r="H107" i="15"/>
  <c r="H104" i="4"/>
  <c r="J107" i="15" l="1"/>
  <c r="AD106" i="15"/>
  <c r="AE106" i="15" s="1"/>
  <c r="AF106" i="15"/>
  <c r="AG106" i="15"/>
  <c r="C107" i="15" s="1"/>
  <c r="AI106" i="15"/>
  <c r="T106" i="15"/>
  <c r="K107" i="15"/>
  <c r="AG103" i="4"/>
  <c r="C104" i="4" s="1"/>
  <c r="AF103" i="4"/>
  <c r="B104" i="4" s="1"/>
  <c r="AI103" i="4"/>
  <c r="AJ103" i="4" s="1"/>
  <c r="AD103" i="4"/>
  <c r="AE103" i="4" s="1"/>
  <c r="K104" i="4"/>
  <c r="T103" i="4"/>
  <c r="O105" i="4"/>
  <c r="AL104" i="4" l="1"/>
  <c r="AH106" i="15"/>
  <c r="D107" i="15" s="1"/>
  <c r="B107" i="15"/>
  <c r="AL106" i="15"/>
  <c r="AJ106" i="15"/>
  <c r="AK106" i="15"/>
  <c r="AH103" i="4"/>
  <c r="D104" i="4" s="1"/>
  <c r="L104" i="4" s="1"/>
  <c r="U104" i="4" s="1"/>
  <c r="V104" i="4" s="1"/>
  <c r="AK104" i="4"/>
  <c r="I104" i="4"/>
  <c r="O107" i="15"/>
  <c r="E104" i="4"/>
  <c r="I107" i="15" l="1"/>
  <c r="U107" i="15"/>
  <c r="V107" i="15" s="1"/>
  <c r="L107" i="15"/>
  <c r="M107" i="15" s="1"/>
  <c r="F104" i="4"/>
  <c r="W104" i="4"/>
  <c r="Y104" i="4"/>
  <c r="M104" i="4"/>
  <c r="Z104" i="4"/>
  <c r="E107" i="15"/>
  <c r="F107" i="15" l="1"/>
  <c r="P107" i="15"/>
  <c r="N107" i="15"/>
  <c r="W107" i="15"/>
  <c r="Y107" i="15"/>
  <c r="X104" i="4"/>
  <c r="AA104" i="4" s="1"/>
  <c r="AB104" i="4" s="1"/>
  <c r="P104" i="4"/>
  <c r="N104" i="4"/>
  <c r="R107" i="15"/>
  <c r="Z107" i="15"/>
  <c r="R104" i="4"/>
  <c r="X107" i="15" l="1"/>
  <c r="AA107" i="15" s="1"/>
  <c r="AB107" i="15" s="1"/>
  <c r="Q107" i="15"/>
  <c r="S107" i="15" s="1"/>
  <c r="G107" i="15"/>
  <c r="G104" i="4"/>
  <c r="Q104" i="4"/>
  <c r="S104" i="4" s="1"/>
  <c r="H105" i="4"/>
  <c r="H108" i="15"/>
  <c r="AC107" i="15"/>
  <c r="AC104" i="4"/>
  <c r="J108" i="15" l="1"/>
  <c r="AG107" i="15"/>
  <c r="C108" i="15" s="1"/>
  <c r="AI107" i="15"/>
  <c r="AF107" i="15"/>
  <c r="AD107" i="15"/>
  <c r="AE107" i="15" s="1"/>
  <c r="K108" i="15"/>
  <c r="T107" i="15"/>
  <c r="K105" i="4"/>
  <c r="AG104" i="4"/>
  <c r="C105" i="4" s="1"/>
  <c r="AI104" i="4"/>
  <c r="AJ104" i="4" s="1"/>
  <c r="AD104" i="4"/>
  <c r="AE104" i="4" s="1"/>
  <c r="AF104" i="4"/>
  <c r="T104" i="4"/>
  <c r="AL107" i="15" l="1"/>
  <c r="AK107" i="15"/>
  <c r="AJ107" i="15"/>
  <c r="B108" i="15"/>
  <c r="AH107" i="15"/>
  <c r="D108" i="15" s="1"/>
  <c r="AL105" i="4"/>
  <c r="B105" i="4"/>
  <c r="AH104" i="4"/>
  <c r="D105" i="4" s="1"/>
  <c r="AK105" i="4"/>
  <c r="O108" i="15"/>
  <c r="O106" i="4"/>
  <c r="I108" i="15" l="1"/>
  <c r="U108" i="15"/>
  <c r="V108" i="15" s="1"/>
  <c r="L108" i="15"/>
  <c r="M108" i="15" s="1"/>
  <c r="I105" i="4"/>
  <c r="L105" i="4"/>
  <c r="U105" i="4" s="1"/>
  <c r="V105" i="4" s="1"/>
  <c r="E108" i="15"/>
  <c r="E105" i="4"/>
  <c r="F108" i="15" l="1"/>
  <c r="P108" i="15"/>
  <c r="N108" i="15"/>
  <c r="Y108" i="15"/>
  <c r="W108" i="15"/>
  <c r="X108" i="15" s="1"/>
  <c r="F105" i="4"/>
  <c r="Y105" i="4"/>
  <c r="W105" i="4"/>
  <c r="M105" i="4"/>
  <c r="Z108" i="15"/>
  <c r="Z105" i="4"/>
  <c r="R108" i="15"/>
  <c r="Q108" i="15" l="1"/>
  <c r="S108" i="15" s="1"/>
  <c r="AA108" i="15"/>
  <c r="AB108" i="15" s="1"/>
  <c r="G108" i="15"/>
  <c r="X105" i="4"/>
  <c r="AA105" i="4" s="1"/>
  <c r="AB105" i="4" s="1"/>
  <c r="P105" i="4"/>
  <c r="N105" i="4"/>
  <c r="Q105" i="4" s="1"/>
  <c r="R105" i="4"/>
  <c r="AC108" i="15"/>
  <c r="H109" i="15"/>
  <c r="J109" i="15" l="1"/>
  <c r="AG108" i="15"/>
  <c r="C109" i="15" s="1"/>
  <c r="AF108" i="15"/>
  <c r="AI108" i="15"/>
  <c r="AD108" i="15"/>
  <c r="AE108" i="15" s="1"/>
  <c r="T108" i="15"/>
  <c r="K109" i="15"/>
  <c r="S105" i="4"/>
  <c r="T105" i="4" s="1"/>
  <c r="G105" i="4"/>
  <c r="AC105" i="4"/>
  <c r="H106" i="4"/>
  <c r="AJ108" i="15" l="1"/>
  <c r="AL108" i="15"/>
  <c r="AK108" i="15"/>
  <c r="B109" i="15"/>
  <c r="AH108" i="15"/>
  <c r="D109" i="15" s="1"/>
  <c r="K106" i="4"/>
  <c r="AI105" i="4"/>
  <c r="AJ105" i="4" s="1"/>
  <c r="AD105" i="4"/>
  <c r="AE105" i="4" s="1"/>
  <c r="AG105" i="4"/>
  <c r="C106" i="4" s="1"/>
  <c r="AF105" i="4"/>
  <c r="B106" i="4" s="1"/>
  <c r="O107" i="4"/>
  <c r="O109" i="15"/>
  <c r="I109" i="15" l="1"/>
  <c r="L109" i="15"/>
  <c r="M109" i="15" s="1"/>
  <c r="U109" i="15"/>
  <c r="V109" i="15" s="1"/>
  <c r="I106" i="4"/>
  <c r="AH105" i="4"/>
  <c r="D106" i="4" s="1"/>
  <c r="AL106" i="4"/>
  <c r="AK106" i="4"/>
  <c r="E106" i="4"/>
  <c r="E109" i="15"/>
  <c r="F109" i="15" l="1"/>
  <c r="Y109" i="15"/>
  <c r="W109" i="15"/>
  <c r="N109" i="15"/>
  <c r="P109" i="15"/>
  <c r="F106" i="4"/>
  <c r="L106" i="4"/>
  <c r="U106" i="4" s="1"/>
  <c r="V106" i="4" s="1"/>
  <c r="Z109" i="15"/>
  <c r="R109" i="15"/>
  <c r="X109" i="15" l="1"/>
  <c r="AA109" i="15" s="1"/>
  <c r="AB109" i="15" s="1"/>
  <c r="Q109" i="15"/>
  <c r="S109" i="15" s="1"/>
  <c r="T109" i="15" s="1"/>
  <c r="G109" i="15"/>
  <c r="M106" i="4"/>
  <c r="N106" i="4" s="1"/>
  <c r="G106" i="4" s="1"/>
  <c r="Y106" i="4"/>
  <c r="W106" i="4"/>
  <c r="X106" i="4" s="1"/>
  <c r="Z106" i="4"/>
  <c r="AC109" i="15"/>
  <c r="H110" i="15"/>
  <c r="J110" i="15" l="1"/>
  <c r="AF109" i="15"/>
  <c r="AI109" i="15"/>
  <c r="AD109" i="15"/>
  <c r="AE109" i="15" s="1"/>
  <c r="AG109" i="15"/>
  <c r="C110" i="15" s="1"/>
  <c r="K110" i="15"/>
  <c r="P106" i="4"/>
  <c r="AA106" i="4"/>
  <c r="AB106" i="4" s="1"/>
  <c r="Q106" i="4"/>
  <c r="R106" i="4"/>
  <c r="AJ109" i="15" l="1"/>
  <c r="AL109" i="15"/>
  <c r="AK109" i="15"/>
  <c r="AH109" i="15"/>
  <c r="D110" i="15" s="1"/>
  <c r="B110" i="15"/>
  <c r="S106" i="4"/>
  <c r="T106" i="4" s="1"/>
  <c r="AC106" i="4"/>
  <c r="O110" i="15"/>
  <c r="H107" i="4"/>
  <c r="L110" i="15" l="1"/>
  <c r="M110" i="15" s="1"/>
  <c r="U110" i="15"/>
  <c r="V110" i="15" s="1"/>
  <c r="I110" i="15"/>
  <c r="AG106" i="4"/>
  <c r="C107" i="4" s="1"/>
  <c r="AI106" i="4"/>
  <c r="AJ106" i="4" s="1"/>
  <c r="AD106" i="4"/>
  <c r="AE106" i="4" s="1"/>
  <c r="AF106" i="4"/>
  <c r="B107" i="4" s="1"/>
  <c r="K107" i="4"/>
  <c r="E110" i="15"/>
  <c r="O108" i="4"/>
  <c r="AK107" i="4" l="1"/>
  <c r="F110" i="15"/>
  <c r="Y110" i="15"/>
  <c r="W110" i="15"/>
  <c r="N110" i="15"/>
  <c r="P110" i="15"/>
  <c r="AL107" i="4"/>
  <c r="I107" i="4"/>
  <c r="AH106" i="4"/>
  <c r="D107" i="4" s="1"/>
  <c r="L107" i="4" s="1"/>
  <c r="U107" i="4" s="1"/>
  <c r="V107" i="4" s="1"/>
  <c r="R110" i="15"/>
  <c r="Z110" i="15"/>
  <c r="E107" i="4"/>
  <c r="X110" i="15" l="1"/>
  <c r="AA110" i="15" s="1"/>
  <c r="AB110" i="15" s="1"/>
  <c r="Q110" i="15"/>
  <c r="S110" i="15" s="1"/>
  <c r="G110" i="15"/>
  <c r="F107" i="4"/>
  <c r="Y107" i="4"/>
  <c r="W107" i="4"/>
  <c r="M107" i="4"/>
  <c r="AC110" i="15"/>
  <c r="H111" i="15"/>
  <c r="Z107" i="4"/>
  <c r="J111" i="15" l="1"/>
  <c r="AF110" i="15"/>
  <c r="AI110" i="15"/>
  <c r="AD110" i="15"/>
  <c r="AE110" i="15" s="1"/>
  <c r="AG110" i="15"/>
  <c r="C111" i="15" s="1"/>
  <c r="T110" i="15"/>
  <c r="K111" i="15"/>
  <c r="X107" i="4"/>
  <c r="AA107" i="4" s="1"/>
  <c r="AB107" i="4" s="1"/>
  <c r="N107" i="4"/>
  <c r="P107" i="4"/>
  <c r="R107" i="4"/>
  <c r="AJ110" i="15" l="1"/>
  <c r="AK110" i="15"/>
  <c r="AL110" i="15"/>
  <c r="B111" i="15"/>
  <c r="AH110" i="15"/>
  <c r="D111" i="15" s="1"/>
  <c r="Q107" i="4"/>
  <c r="S107" i="4" s="1"/>
  <c r="G107" i="4"/>
  <c r="H108" i="4"/>
  <c r="AC107" i="4"/>
  <c r="O111" i="15"/>
  <c r="I111" i="15" l="1"/>
  <c r="L111" i="15"/>
  <c r="M111" i="15" s="1"/>
  <c r="U111" i="15"/>
  <c r="V111" i="15" s="1"/>
  <c r="K108" i="4"/>
  <c r="AF107" i="4"/>
  <c r="B108" i="4" s="1"/>
  <c r="AD107" i="4"/>
  <c r="AE107" i="4" s="1"/>
  <c r="AI107" i="4"/>
  <c r="AJ107" i="4" s="1"/>
  <c r="AG107" i="4"/>
  <c r="C108" i="4" s="1"/>
  <c r="T107" i="4"/>
  <c r="E111" i="15"/>
  <c r="O109" i="4"/>
  <c r="F111" i="15" l="1"/>
  <c r="Y111" i="15"/>
  <c r="W111" i="15"/>
  <c r="P111" i="15"/>
  <c r="N111" i="15"/>
  <c r="AH107" i="4"/>
  <c r="D108" i="4" s="1"/>
  <c r="I108" i="4"/>
  <c r="AK108" i="4"/>
  <c r="AL108" i="4"/>
  <c r="R111" i="15"/>
  <c r="Z111" i="15"/>
  <c r="E108" i="4"/>
  <c r="X111" i="15" l="1"/>
  <c r="AA111" i="15" s="1"/>
  <c r="AB111" i="15" s="1"/>
  <c r="Q111" i="15"/>
  <c r="S111" i="15" s="1"/>
  <c r="G111" i="15"/>
  <c r="F108" i="4"/>
  <c r="L108" i="4"/>
  <c r="U108" i="4" s="1"/>
  <c r="V108" i="4" s="1"/>
  <c r="H112" i="15"/>
  <c r="AC111" i="15"/>
  <c r="J112" i="15" l="1"/>
  <c r="AD111" i="15"/>
  <c r="AE111" i="15" s="1"/>
  <c r="AG111" i="15"/>
  <c r="C112" i="15" s="1"/>
  <c r="AF111" i="15"/>
  <c r="AI111" i="15"/>
  <c r="T111" i="15"/>
  <c r="K112" i="15"/>
  <c r="Y108" i="4"/>
  <c r="W108" i="4"/>
  <c r="X108" i="4" s="1"/>
  <c r="M108" i="4"/>
  <c r="Z108" i="4"/>
  <c r="AH111" i="15" l="1"/>
  <c r="D112" i="15" s="1"/>
  <c r="B112" i="15"/>
  <c r="AJ111" i="15"/>
  <c r="AK111" i="15"/>
  <c r="AL111" i="15"/>
  <c r="AA108" i="4"/>
  <c r="AB108" i="4" s="1"/>
  <c r="P108" i="4"/>
  <c r="N108" i="4"/>
  <c r="O112" i="15"/>
  <c r="R108" i="4"/>
  <c r="I112" i="15" l="1"/>
  <c r="L112" i="15"/>
  <c r="M112" i="15" s="1"/>
  <c r="U112" i="15"/>
  <c r="V112" i="15" s="1"/>
  <c r="Q108" i="4"/>
  <c r="S108" i="4" s="1"/>
  <c r="G108" i="4"/>
  <c r="AC108" i="4"/>
  <c r="E112" i="15"/>
  <c r="H109" i="4"/>
  <c r="F112" i="15" l="1"/>
  <c r="P112" i="15"/>
  <c r="N112" i="15"/>
  <c r="Y112" i="15"/>
  <c r="W112" i="15"/>
  <c r="X112" i="15" s="1"/>
  <c r="K109" i="4"/>
  <c r="AD108" i="4"/>
  <c r="AE108" i="4" s="1"/>
  <c r="AI108" i="4"/>
  <c r="AJ108" i="4" s="1"/>
  <c r="AG108" i="4"/>
  <c r="C109" i="4" s="1"/>
  <c r="AF108" i="4"/>
  <c r="T108" i="4"/>
  <c r="Z112" i="15"/>
  <c r="R112" i="15"/>
  <c r="AA112" i="15" l="1"/>
  <c r="AB112" i="15" s="1"/>
  <c r="Q112" i="15"/>
  <c r="S112" i="15" s="1"/>
  <c r="G112" i="15"/>
  <c r="AH108" i="4"/>
  <c r="D109" i="4" s="1"/>
  <c r="L109" i="4" s="1"/>
  <c r="U109" i="4" s="1"/>
  <c r="V109" i="4" s="1"/>
  <c r="B109" i="4"/>
  <c r="AL109" i="4"/>
  <c r="AK109" i="4"/>
  <c r="AC112" i="15"/>
  <c r="O110" i="4"/>
  <c r="H113" i="15"/>
  <c r="W109" i="4" l="1"/>
  <c r="J113" i="15"/>
  <c r="AF112" i="15"/>
  <c r="AD112" i="15"/>
  <c r="AE112" i="15" s="1"/>
  <c r="AG112" i="15"/>
  <c r="C113" i="15" s="1"/>
  <c r="AI112" i="15"/>
  <c r="T112" i="15"/>
  <c r="K113" i="15"/>
  <c r="M109" i="4"/>
  <c r="P109" i="4" s="1"/>
  <c r="I109" i="4"/>
  <c r="Y109" i="4"/>
  <c r="Z109" i="4"/>
  <c r="E109" i="4"/>
  <c r="R109" i="4"/>
  <c r="AH112" i="15" l="1"/>
  <c r="D113" i="15" s="1"/>
  <c r="B113" i="15"/>
  <c r="AJ112" i="15"/>
  <c r="AL112" i="15"/>
  <c r="AK112" i="15"/>
  <c r="N109" i="4"/>
  <c r="Q109" i="4" s="1"/>
  <c r="S109" i="4" s="1"/>
  <c r="F109" i="4"/>
  <c r="AC109" i="4"/>
  <c r="O113" i="15"/>
  <c r="H110" i="4"/>
  <c r="I113" i="15" l="1"/>
  <c r="L113" i="15"/>
  <c r="M113" i="15" s="1"/>
  <c r="U113" i="15"/>
  <c r="V113" i="15" s="1"/>
  <c r="K110" i="4"/>
  <c r="AI109" i="4"/>
  <c r="AJ109" i="4" s="1"/>
  <c r="AD109" i="4"/>
  <c r="AE109" i="4" s="1"/>
  <c r="AG109" i="4"/>
  <c r="C110" i="4" s="1"/>
  <c r="AF109" i="4"/>
  <c r="X109" i="4"/>
  <c r="AA109" i="4" s="1"/>
  <c r="AB109" i="4" s="1"/>
  <c r="G109" i="4"/>
  <c r="T109" i="4"/>
  <c r="E113" i="15"/>
  <c r="F113" i="15" l="1"/>
  <c r="W113" i="15"/>
  <c r="Y113" i="15"/>
  <c r="P113" i="15"/>
  <c r="N113" i="15"/>
  <c r="AH109" i="4"/>
  <c r="D110" i="4" s="1"/>
  <c r="L110" i="4" s="1"/>
  <c r="U110" i="4" s="1"/>
  <c r="V110" i="4" s="1"/>
  <c r="AK110" i="4"/>
  <c r="B110" i="4"/>
  <c r="AL110" i="4"/>
  <c r="Z113" i="15"/>
  <c r="O111" i="4"/>
  <c r="R113" i="15"/>
  <c r="X113" i="15" l="1"/>
  <c r="AA113" i="15" s="1"/>
  <c r="AB113" i="15" s="1"/>
  <c r="Q113" i="15"/>
  <c r="S113" i="15" s="1"/>
  <c r="G113" i="15"/>
  <c r="M110" i="4"/>
  <c r="N110" i="4" s="1"/>
  <c r="I110" i="4"/>
  <c r="W110" i="4"/>
  <c r="Y110" i="4"/>
  <c r="AC113" i="15"/>
  <c r="Z110" i="4"/>
  <c r="E110" i="4"/>
  <c r="H114" i="15"/>
  <c r="J114" i="15" l="1"/>
  <c r="AG113" i="15"/>
  <c r="C114" i="15" s="1"/>
  <c r="AI113" i="15"/>
  <c r="AF113" i="15"/>
  <c r="AD113" i="15"/>
  <c r="AE113" i="15" s="1"/>
  <c r="T113" i="15"/>
  <c r="K114" i="15"/>
  <c r="P110" i="4"/>
  <c r="F110" i="4"/>
  <c r="Q110" i="4"/>
  <c r="R110" i="4"/>
  <c r="AJ113" i="15" l="1"/>
  <c r="AK113" i="15"/>
  <c r="AL113" i="15"/>
  <c r="B114" i="15"/>
  <c r="AH113" i="15"/>
  <c r="D114" i="15" s="1"/>
  <c r="S110" i="4"/>
  <c r="G110" i="4"/>
  <c r="X110" i="4"/>
  <c r="AA110" i="4" s="1"/>
  <c r="AB110" i="4" s="1"/>
  <c r="O114" i="15"/>
  <c r="H111" i="4"/>
  <c r="AC110" i="4"/>
  <c r="I114" i="15" l="1"/>
  <c r="L114" i="15"/>
  <c r="M114" i="15" s="1"/>
  <c r="U114" i="15"/>
  <c r="V114" i="15" s="1"/>
  <c r="AD110" i="4"/>
  <c r="AE110" i="4" s="1"/>
  <c r="AF110" i="4"/>
  <c r="AG110" i="4"/>
  <c r="C111" i="4" s="1"/>
  <c r="AI110" i="4"/>
  <c r="AJ110" i="4" s="1"/>
  <c r="K111" i="4"/>
  <c r="T110" i="4"/>
  <c r="E114" i="15"/>
  <c r="F114" i="15" l="1"/>
  <c r="W114" i="15"/>
  <c r="Y114" i="15"/>
  <c r="N114" i="15"/>
  <c r="P114" i="15"/>
  <c r="AL111" i="4"/>
  <c r="AH110" i="4"/>
  <c r="D111" i="4" s="1"/>
  <c r="L111" i="4" s="1"/>
  <c r="U111" i="4" s="1"/>
  <c r="V111" i="4" s="1"/>
  <c r="AK111" i="4"/>
  <c r="B111" i="4"/>
  <c r="I111" i="4" s="1"/>
  <c r="Z114" i="15"/>
  <c r="R114" i="15"/>
  <c r="E111" i="4"/>
  <c r="O112" i="4"/>
  <c r="X114" i="15" l="1"/>
  <c r="AA114" i="15" s="1"/>
  <c r="AB114" i="15" s="1"/>
  <c r="Q114" i="15"/>
  <c r="S114" i="15" s="1"/>
  <c r="G114" i="15"/>
  <c r="M111" i="4"/>
  <c r="P111" i="4" s="1"/>
  <c r="F111" i="4"/>
  <c r="Y111" i="4"/>
  <c r="W111" i="4"/>
  <c r="AC114" i="15"/>
  <c r="H115" i="15"/>
  <c r="Z111" i="4"/>
  <c r="R111" i="4"/>
  <c r="N111" i="4" l="1"/>
  <c r="Q111" i="4" s="1"/>
  <c r="S111" i="4" s="1"/>
  <c r="J115" i="15"/>
  <c r="AG114" i="15"/>
  <c r="C115" i="15" s="1"/>
  <c r="AI114" i="15"/>
  <c r="AD114" i="15"/>
  <c r="AE114" i="15" s="1"/>
  <c r="AF114" i="15"/>
  <c r="T114" i="15"/>
  <c r="K115" i="15"/>
  <c r="X111" i="4"/>
  <c r="AA111" i="4" s="1"/>
  <c r="AB111" i="4" s="1"/>
  <c r="AC111" i="4"/>
  <c r="H112" i="4"/>
  <c r="G111" i="4" l="1"/>
  <c r="AL114" i="15"/>
  <c r="AK114" i="15"/>
  <c r="AJ114" i="15"/>
  <c r="AH114" i="15"/>
  <c r="D115" i="15" s="1"/>
  <c r="B115" i="15"/>
  <c r="K112" i="4"/>
  <c r="AI111" i="4"/>
  <c r="AJ111" i="4" s="1"/>
  <c r="AD111" i="4"/>
  <c r="AE111" i="4" s="1"/>
  <c r="AG111" i="4"/>
  <c r="C112" i="4" s="1"/>
  <c r="AF111" i="4"/>
  <c r="T111" i="4"/>
  <c r="O115" i="15"/>
  <c r="U115" i="15" l="1"/>
  <c r="V115" i="15" s="1"/>
  <c r="L115" i="15"/>
  <c r="M115" i="15" s="1"/>
  <c r="I115" i="15"/>
  <c r="AL112" i="4"/>
  <c r="B112" i="4"/>
  <c r="AH111" i="4"/>
  <c r="D112" i="4" s="1"/>
  <c r="AK112" i="4"/>
  <c r="O113" i="4"/>
  <c r="E115" i="15"/>
  <c r="F115" i="15" l="1"/>
  <c r="N115" i="15"/>
  <c r="P115" i="15"/>
  <c r="Y115" i="15"/>
  <c r="W115" i="15"/>
  <c r="I112" i="4"/>
  <c r="L112" i="4"/>
  <c r="U112" i="4" s="1"/>
  <c r="V112" i="4" s="1"/>
  <c r="R115" i="15"/>
  <c r="E112" i="4"/>
  <c r="Z115" i="15"/>
  <c r="X115" i="15" l="1"/>
  <c r="AA115" i="15" s="1"/>
  <c r="AB115" i="15" s="1"/>
  <c r="Q115" i="15"/>
  <c r="S115" i="15" s="1"/>
  <c r="G115" i="15"/>
  <c r="M112" i="4"/>
  <c r="P112" i="4" s="1"/>
  <c r="F112" i="4"/>
  <c r="Y112" i="4"/>
  <c r="W112" i="4"/>
  <c r="AC115" i="15"/>
  <c r="R112" i="4"/>
  <c r="Z112" i="4"/>
  <c r="H116" i="15"/>
  <c r="J116" i="15" l="1"/>
  <c r="AI115" i="15"/>
  <c r="AD115" i="15"/>
  <c r="AE115" i="15" s="1"/>
  <c r="AG115" i="15"/>
  <c r="C116" i="15" s="1"/>
  <c r="AF115" i="15"/>
  <c r="K116" i="15"/>
  <c r="T115" i="15"/>
  <c r="N112" i="4"/>
  <c r="Q112" i="4" s="1"/>
  <c r="S112" i="4" s="1"/>
  <c r="X112" i="4"/>
  <c r="AA112" i="4" s="1"/>
  <c r="AB112" i="4" s="1"/>
  <c r="H113" i="4"/>
  <c r="AC112" i="4"/>
  <c r="AK115" i="15" l="1"/>
  <c r="AJ115" i="15"/>
  <c r="AL115" i="15"/>
  <c r="AH115" i="15"/>
  <c r="D116" i="15" s="1"/>
  <c r="B116" i="15"/>
  <c r="G112" i="4"/>
  <c r="K113" i="4"/>
  <c r="AD112" i="4"/>
  <c r="AE112" i="4" s="1"/>
  <c r="AI112" i="4"/>
  <c r="AJ112" i="4" s="1"/>
  <c r="AG112" i="4"/>
  <c r="C113" i="4" s="1"/>
  <c r="AF112" i="4"/>
  <c r="T112" i="4"/>
  <c r="O116" i="15"/>
  <c r="U116" i="15" l="1"/>
  <c r="V116" i="15" s="1"/>
  <c r="L116" i="15"/>
  <c r="M116" i="15" s="1"/>
  <c r="I116" i="15"/>
  <c r="B113" i="4"/>
  <c r="AH112" i="4"/>
  <c r="D113" i="4" s="1"/>
  <c r="AL113" i="4"/>
  <c r="AK113" i="4"/>
  <c r="O114" i="4"/>
  <c r="E116" i="15"/>
  <c r="F116" i="15" l="1"/>
  <c r="P116" i="15"/>
  <c r="N116" i="15"/>
  <c r="W116" i="15"/>
  <c r="Y116" i="15"/>
  <c r="I113" i="4"/>
  <c r="L113" i="4"/>
  <c r="U113" i="4" s="1"/>
  <c r="V113" i="4" s="1"/>
  <c r="Z116" i="15"/>
  <c r="E113" i="4"/>
  <c r="R116" i="15"/>
  <c r="X116" i="15" l="1"/>
  <c r="AA116" i="15" s="1"/>
  <c r="AB116" i="15" s="1"/>
  <c r="Q116" i="15"/>
  <c r="S116" i="15" s="1"/>
  <c r="G116" i="15"/>
  <c r="M113" i="4"/>
  <c r="P113" i="4" s="1"/>
  <c r="F113" i="4"/>
  <c r="Y113" i="4"/>
  <c r="W113" i="4"/>
  <c r="AC116" i="15"/>
  <c r="R113" i="4"/>
  <c r="H117" i="15"/>
  <c r="Z113" i="4"/>
  <c r="N113" i="4" l="1"/>
  <c r="G113" i="4" s="1"/>
  <c r="J117" i="15"/>
  <c r="AI116" i="15"/>
  <c r="AD116" i="15"/>
  <c r="AE116" i="15" s="1"/>
  <c r="AG116" i="15"/>
  <c r="C117" i="15" s="1"/>
  <c r="AF116" i="15"/>
  <c r="T116" i="15"/>
  <c r="K117" i="15"/>
  <c r="X113" i="4"/>
  <c r="AA113" i="4" s="1"/>
  <c r="AB113" i="4" s="1"/>
  <c r="Q113" i="4" l="1"/>
  <c r="S113" i="4" s="1"/>
  <c r="AK116" i="15"/>
  <c r="AL116" i="15"/>
  <c r="AJ116" i="15"/>
  <c r="B117" i="15"/>
  <c r="AH116" i="15"/>
  <c r="D117" i="15" s="1"/>
  <c r="H114" i="4"/>
  <c r="AC113" i="4"/>
  <c r="O117" i="15"/>
  <c r="AI113" i="4" l="1"/>
  <c r="AJ113" i="4" s="1"/>
  <c r="AD113" i="4"/>
  <c r="AE113" i="4" s="1"/>
  <c r="AF113" i="4"/>
  <c r="B114" i="4" s="1"/>
  <c r="AG113" i="4"/>
  <c r="C114" i="4" s="1"/>
  <c r="K114" i="4"/>
  <c r="T113" i="4"/>
  <c r="I117" i="15"/>
  <c r="U117" i="15"/>
  <c r="V117" i="15" s="1"/>
  <c r="L117" i="15"/>
  <c r="M117" i="15" s="1"/>
  <c r="E117" i="15"/>
  <c r="O115" i="4"/>
  <c r="AH113" i="4" l="1"/>
  <c r="D114" i="4" s="1"/>
  <c r="L114" i="4" s="1"/>
  <c r="U114" i="4" s="1"/>
  <c r="V114" i="4" s="1"/>
  <c r="AL114" i="4"/>
  <c r="AK114" i="4"/>
  <c r="F117" i="15"/>
  <c r="P117" i="15"/>
  <c r="N117" i="15"/>
  <c r="W117" i="15"/>
  <c r="Y117" i="15"/>
  <c r="I114" i="4"/>
  <c r="R117" i="15"/>
  <c r="E114" i="4"/>
  <c r="Z117" i="15"/>
  <c r="X117" i="15" l="1"/>
  <c r="AA117" i="15" s="1"/>
  <c r="AB117" i="15" s="1"/>
  <c r="Q117" i="15"/>
  <c r="S117" i="15" s="1"/>
  <c r="G117" i="15"/>
  <c r="F114" i="4"/>
  <c r="Y114" i="4"/>
  <c r="W114" i="4"/>
  <c r="M114" i="4"/>
  <c r="AC117" i="15"/>
  <c r="Z114" i="4"/>
  <c r="H118" i="15"/>
  <c r="J118" i="15" l="1"/>
  <c r="AI117" i="15"/>
  <c r="AD117" i="15"/>
  <c r="AE117" i="15" s="1"/>
  <c r="AG117" i="15"/>
  <c r="C118" i="15" s="1"/>
  <c r="AF117" i="15"/>
  <c r="T117" i="15"/>
  <c r="K118" i="15"/>
  <c r="X114" i="4"/>
  <c r="AA114" i="4" s="1"/>
  <c r="AB114" i="4" s="1"/>
  <c r="P114" i="4"/>
  <c r="N114" i="4"/>
  <c r="R114" i="4"/>
  <c r="AK117" i="15" l="1"/>
  <c r="AJ117" i="15"/>
  <c r="AL117" i="15"/>
  <c r="B118" i="15"/>
  <c r="AH117" i="15"/>
  <c r="D118" i="15" s="1"/>
  <c r="Q114" i="4"/>
  <c r="S114" i="4" s="1"/>
  <c r="G114" i="4"/>
  <c r="AC114" i="4"/>
  <c r="H115" i="4"/>
  <c r="O118" i="15"/>
  <c r="I118" i="15" l="1"/>
  <c r="L118" i="15"/>
  <c r="M118" i="15" s="1"/>
  <c r="U118" i="15"/>
  <c r="V118" i="15" s="1"/>
  <c r="K115" i="4"/>
  <c r="AI114" i="4"/>
  <c r="AJ114" i="4" s="1"/>
  <c r="AD114" i="4"/>
  <c r="AE114" i="4" s="1"/>
  <c r="AG114" i="4"/>
  <c r="C115" i="4" s="1"/>
  <c r="AF114" i="4"/>
  <c r="T114" i="4"/>
  <c r="E118" i="15"/>
  <c r="F118" i="15" l="1"/>
  <c r="W118" i="15"/>
  <c r="Y118" i="15"/>
  <c r="N118" i="15"/>
  <c r="P118" i="15"/>
  <c r="AK115" i="4"/>
  <c r="AL115" i="4"/>
  <c r="B115" i="4"/>
  <c r="AH114" i="4"/>
  <c r="D115" i="4" s="1"/>
  <c r="R118" i="15"/>
  <c r="O116" i="4"/>
  <c r="Z118" i="15"/>
  <c r="X118" i="15" l="1"/>
  <c r="AA118" i="15" s="1"/>
  <c r="AB118" i="15" s="1"/>
  <c r="Q118" i="15"/>
  <c r="S118" i="15" s="1"/>
  <c r="G118" i="15"/>
  <c r="L115" i="4"/>
  <c r="U115" i="4" s="1"/>
  <c r="V115" i="4" s="1"/>
  <c r="I115" i="4"/>
  <c r="H119" i="15"/>
  <c r="AC118" i="15"/>
  <c r="E115" i="4"/>
  <c r="J119" i="15" l="1"/>
  <c r="AG118" i="15"/>
  <c r="C119" i="15" s="1"/>
  <c r="AD118" i="15"/>
  <c r="AE118" i="15" s="1"/>
  <c r="AF118" i="15"/>
  <c r="AI118" i="15"/>
  <c r="T118" i="15"/>
  <c r="K119" i="15"/>
  <c r="M115" i="4"/>
  <c r="P115" i="4" s="1"/>
  <c r="F115" i="4"/>
  <c r="W115" i="4"/>
  <c r="Y115" i="4"/>
  <c r="R115" i="4"/>
  <c r="Z115" i="4"/>
  <c r="B119" i="15" l="1"/>
  <c r="AH118" i="15"/>
  <c r="D119" i="15" s="1"/>
  <c r="AL118" i="15"/>
  <c r="AK118" i="15"/>
  <c r="AJ118" i="15"/>
  <c r="X115" i="4"/>
  <c r="AA115" i="4" s="1"/>
  <c r="AB115" i="4" s="1"/>
  <c r="N115" i="4"/>
  <c r="Q115" i="4" s="1"/>
  <c r="S115" i="4" s="1"/>
  <c r="H116" i="4"/>
  <c r="AC115" i="4"/>
  <c r="O119" i="15"/>
  <c r="U119" i="15" l="1"/>
  <c r="V119" i="15" s="1"/>
  <c r="L119" i="15"/>
  <c r="M119" i="15" s="1"/>
  <c r="I119" i="15"/>
  <c r="G115" i="4"/>
  <c r="K116" i="4"/>
  <c r="AI115" i="4"/>
  <c r="AJ115" i="4" s="1"/>
  <c r="AD115" i="4"/>
  <c r="AE115" i="4" s="1"/>
  <c r="AG115" i="4"/>
  <c r="C116" i="4" s="1"/>
  <c r="AF115" i="4"/>
  <c r="T115" i="4"/>
  <c r="E119" i="15"/>
  <c r="F119" i="15" l="1"/>
  <c r="N119" i="15"/>
  <c r="P119" i="15"/>
  <c r="Y119" i="15"/>
  <c r="W119" i="15"/>
  <c r="B116" i="4"/>
  <c r="AH115" i="4"/>
  <c r="D116" i="4" s="1"/>
  <c r="AL116" i="4"/>
  <c r="AK116" i="4"/>
  <c r="Z119" i="15"/>
  <c r="R119" i="15"/>
  <c r="O117" i="4"/>
  <c r="X119" i="15" l="1"/>
  <c r="Q119" i="15"/>
  <c r="S119" i="15" s="1"/>
  <c r="AA119" i="15"/>
  <c r="AB119" i="15" s="1"/>
  <c r="G119" i="15"/>
  <c r="I116" i="4"/>
  <c r="L116" i="4"/>
  <c r="U116" i="4" s="1"/>
  <c r="V116" i="4" s="1"/>
  <c r="E116" i="4"/>
  <c r="AC119" i="15"/>
  <c r="H120" i="15"/>
  <c r="J120" i="15" l="1"/>
  <c r="AG119" i="15"/>
  <c r="C120" i="15" s="1"/>
  <c r="AF119" i="15"/>
  <c r="AI119" i="15"/>
  <c r="AD119" i="15"/>
  <c r="AE119" i="15" s="1"/>
  <c r="T119" i="15"/>
  <c r="K120" i="15"/>
  <c r="F116" i="4"/>
  <c r="W116" i="4"/>
  <c r="Y116" i="4"/>
  <c r="M116" i="4"/>
  <c r="Z116" i="4"/>
  <c r="B120" i="15" l="1"/>
  <c r="AH119" i="15"/>
  <c r="D120" i="15" s="1"/>
  <c r="AL119" i="15"/>
  <c r="AK119" i="15"/>
  <c r="AJ119" i="15"/>
  <c r="X116" i="4"/>
  <c r="AA116" i="4" s="1"/>
  <c r="AB116" i="4" s="1"/>
  <c r="P116" i="4"/>
  <c r="N116" i="4"/>
  <c r="O120" i="15"/>
  <c r="R116" i="4"/>
  <c r="L120" i="15" l="1"/>
  <c r="M120" i="15" s="1"/>
  <c r="U120" i="15"/>
  <c r="V120" i="15" s="1"/>
  <c r="I120" i="15"/>
  <c r="Q116" i="4"/>
  <c r="S116" i="4" s="1"/>
  <c r="G116" i="4"/>
  <c r="E120" i="15"/>
  <c r="AC116" i="4"/>
  <c r="H117" i="4"/>
  <c r="F120" i="15" l="1"/>
  <c r="Y120" i="15"/>
  <c r="W120" i="15"/>
  <c r="N120" i="15"/>
  <c r="P120" i="15"/>
  <c r="K117" i="4"/>
  <c r="AI116" i="4"/>
  <c r="AJ116" i="4" s="1"/>
  <c r="AD116" i="4"/>
  <c r="AE116" i="4" s="1"/>
  <c r="AG116" i="4"/>
  <c r="C117" i="4" s="1"/>
  <c r="AF116" i="4"/>
  <c r="T116" i="4"/>
  <c r="R120" i="15"/>
  <c r="Z120" i="15"/>
  <c r="X120" i="15" l="1"/>
  <c r="AA120" i="15" s="1"/>
  <c r="AB120" i="15" s="1"/>
  <c r="Q120" i="15"/>
  <c r="S120" i="15" s="1"/>
  <c r="G120" i="15"/>
  <c r="AL117" i="4"/>
  <c r="B117" i="4"/>
  <c r="AH116" i="4"/>
  <c r="D117" i="4" s="1"/>
  <c r="AK117" i="4"/>
  <c r="AC120" i="15"/>
  <c r="O118" i="4"/>
  <c r="H121" i="15"/>
  <c r="J121" i="15" l="1"/>
  <c r="AI120" i="15"/>
  <c r="AD120" i="15"/>
  <c r="AE120" i="15" s="1"/>
  <c r="AG120" i="15"/>
  <c r="C121" i="15" s="1"/>
  <c r="AF120" i="15"/>
  <c r="T120" i="15"/>
  <c r="K121" i="15"/>
  <c r="L117" i="4"/>
  <c r="U117" i="4" s="1"/>
  <c r="V117" i="4" s="1"/>
  <c r="I117" i="4"/>
  <c r="E117" i="4"/>
  <c r="AL120" i="15" l="1"/>
  <c r="AK120" i="15"/>
  <c r="AJ120" i="15"/>
  <c r="B121" i="15"/>
  <c r="AH120" i="15"/>
  <c r="D121" i="15" s="1"/>
  <c r="F117" i="4"/>
  <c r="Y117" i="4"/>
  <c r="W117" i="4"/>
  <c r="M117" i="4"/>
  <c r="O121" i="15"/>
  <c r="Z117" i="4"/>
  <c r="I121" i="15" l="1"/>
  <c r="U121" i="15"/>
  <c r="V121" i="15" s="1"/>
  <c r="L121" i="15"/>
  <c r="M121" i="15" s="1"/>
  <c r="X117" i="4"/>
  <c r="AA117" i="4" s="1"/>
  <c r="AB117" i="4" s="1"/>
  <c r="P117" i="4"/>
  <c r="N117" i="4"/>
  <c r="G117" i="4" s="1"/>
  <c r="E121" i="15"/>
  <c r="R117" i="4"/>
  <c r="F121" i="15" l="1"/>
  <c r="P121" i="15"/>
  <c r="N121" i="15"/>
  <c r="W121" i="15"/>
  <c r="Y121" i="15"/>
  <c r="Q117" i="4"/>
  <c r="S117" i="4" s="1"/>
  <c r="AC117" i="4"/>
  <c r="R121" i="15"/>
  <c r="H118" i="4"/>
  <c r="Z121" i="15"/>
  <c r="X121" i="15" l="1"/>
  <c r="AA121" i="15" s="1"/>
  <c r="AB121" i="15" s="1"/>
  <c r="Q121" i="15"/>
  <c r="S121" i="15" s="1"/>
  <c r="G121" i="15"/>
  <c r="K118" i="4"/>
  <c r="AG117" i="4"/>
  <c r="C118" i="4" s="1"/>
  <c r="AD117" i="4"/>
  <c r="AE117" i="4" s="1"/>
  <c r="AI117" i="4"/>
  <c r="AJ117" i="4" s="1"/>
  <c r="AF117" i="4"/>
  <c r="T117" i="4"/>
  <c r="H122" i="15"/>
  <c r="AC121" i="15"/>
  <c r="AH117" i="4" l="1"/>
  <c r="D118" i="4" s="1"/>
  <c r="L118" i="4" s="1"/>
  <c r="U118" i="4" s="1"/>
  <c r="V118" i="4" s="1"/>
  <c r="J122" i="15"/>
  <c r="AD121" i="15"/>
  <c r="AE121" i="15" s="1"/>
  <c r="AG121" i="15"/>
  <c r="C122" i="15" s="1"/>
  <c r="AF121" i="15"/>
  <c r="AI121" i="15"/>
  <c r="T121" i="15"/>
  <c r="K122" i="15"/>
  <c r="AL118" i="4"/>
  <c r="B118" i="4"/>
  <c r="AK118" i="4"/>
  <c r="O119" i="4"/>
  <c r="B122" i="15" l="1"/>
  <c r="AH121" i="15"/>
  <c r="D122" i="15" s="1"/>
  <c r="AK121" i="15"/>
  <c r="AJ121" i="15"/>
  <c r="AL121" i="15"/>
  <c r="W118" i="4"/>
  <c r="Y118" i="4"/>
  <c r="M118" i="4"/>
  <c r="I118" i="4"/>
  <c r="O122" i="15"/>
  <c r="Z118" i="4"/>
  <c r="E118" i="4"/>
  <c r="U122" i="15" l="1"/>
  <c r="V122" i="15" s="1"/>
  <c r="L122" i="15"/>
  <c r="M122" i="15" s="1"/>
  <c r="I122" i="15"/>
  <c r="F118" i="4"/>
  <c r="N118" i="4"/>
  <c r="Q118" i="4" s="1"/>
  <c r="P118" i="4"/>
  <c r="E122" i="15"/>
  <c r="R118" i="4"/>
  <c r="F122" i="15" l="1"/>
  <c r="N122" i="15"/>
  <c r="P122" i="15"/>
  <c r="Y122" i="15"/>
  <c r="W122" i="15"/>
  <c r="X122" i="15" s="1"/>
  <c r="G118" i="4"/>
  <c r="S118" i="4"/>
  <c r="X118" i="4"/>
  <c r="AA118" i="4" s="1"/>
  <c r="AB118" i="4" s="1"/>
  <c r="R122" i="15"/>
  <c r="Z122" i="15"/>
  <c r="H119" i="4"/>
  <c r="AC118" i="4"/>
  <c r="Q122" i="15" l="1"/>
  <c r="S122" i="15" s="1"/>
  <c r="AA122" i="15"/>
  <c r="AB122" i="15" s="1"/>
  <c r="G122" i="15"/>
  <c r="K119" i="4"/>
  <c r="AI118" i="4"/>
  <c r="AJ118" i="4" s="1"/>
  <c r="AD118" i="4"/>
  <c r="AE118" i="4" s="1"/>
  <c r="AG118" i="4"/>
  <c r="C119" i="4" s="1"/>
  <c r="AF118" i="4"/>
  <c r="T118" i="4"/>
  <c r="AC122" i="15"/>
  <c r="H123" i="15"/>
  <c r="J123" i="15" l="1"/>
  <c r="AF122" i="15"/>
  <c r="AI122" i="15"/>
  <c r="AD122" i="15"/>
  <c r="AE122" i="15" s="1"/>
  <c r="AG122" i="15"/>
  <c r="C123" i="15" s="1"/>
  <c r="T122" i="15"/>
  <c r="K123" i="15"/>
  <c r="B119" i="4"/>
  <c r="AH118" i="4"/>
  <c r="D119" i="4" s="1"/>
  <c r="AK119" i="4"/>
  <c r="AL119" i="4"/>
  <c r="O120" i="4"/>
  <c r="AJ122" i="15" l="1"/>
  <c r="AK122" i="15"/>
  <c r="AL122" i="15"/>
  <c r="B123" i="15"/>
  <c r="AH122" i="15"/>
  <c r="D123" i="15" s="1"/>
  <c r="L119" i="4"/>
  <c r="U119" i="4" s="1"/>
  <c r="V119" i="4" s="1"/>
  <c r="I119" i="4"/>
  <c r="E119" i="4"/>
  <c r="O123" i="15"/>
  <c r="I123" i="15" l="1"/>
  <c r="U123" i="15"/>
  <c r="V123" i="15" s="1"/>
  <c r="L123" i="15"/>
  <c r="M123" i="15" s="1"/>
  <c r="F119" i="4"/>
  <c r="W119" i="4"/>
  <c r="Y119" i="4"/>
  <c r="M119" i="4"/>
  <c r="Z119" i="4"/>
  <c r="E123" i="15"/>
  <c r="F123" i="15" l="1"/>
  <c r="P123" i="15"/>
  <c r="N123" i="15"/>
  <c r="Q123" i="15" s="1"/>
  <c r="Y123" i="15"/>
  <c r="W123" i="15"/>
  <c r="X119" i="4"/>
  <c r="AA119" i="4" s="1"/>
  <c r="AB119" i="4" s="1"/>
  <c r="N119" i="4"/>
  <c r="G119" i="4" s="1"/>
  <c r="P119" i="4"/>
  <c r="R123" i="15"/>
  <c r="Z123" i="15"/>
  <c r="R119" i="4"/>
  <c r="X123" i="15" l="1"/>
  <c r="AA123" i="15" s="1"/>
  <c r="AB123" i="15" s="1"/>
  <c r="S123" i="15"/>
  <c r="G123" i="15"/>
  <c r="Q119" i="4"/>
  <c r="S119" i="4" s="1"/>
  <c r="AC123" i="15"/>
  <c r="H120" i="4"/>
  <c r="AC119" i="4"/>
  <c r="H124" i="15"/>
  <c r="J124" i="15" l="1"/>
  <c r="AG123" i="15"/>
  <c r="C124" i="15" s="1"/>
  <c r="AI123" i="15"/>
  <c r="AF123" i="15"/>
  <c r="AD123" i="15"/>
  <c r="AE123" i="15" s="1"/>
  <c r="T123" i="15"/>
  <c r="K124" i="15"/>
  <c r="K120" i="4"/>
  <c r="AI119" i="4"/>
  <c r="AJ119" i="4" s="1"/>
  <c r="AD119" i="4"/>
  <c r="AE119" i="4" s="1"/>
  <c r="AG119" i="4"/>
  <c r="C120" i="4" s="1"/>
  <c r="AF119" i="4"/>
  <c r="T119" i="4"/>
  <c r="AK123" i="15" l="1"/>
  <c r="AL123" i="15"/>
  <c r="AJ123" i="15"/>
  <c r="B124" i="15"/>
  <c r="AH123" i="15"/>
  <c r="D124" i="15" s="1"/>
  <c r="AH119" i="4"/>
  <c r="D120" i="4" s="1"/>
  <c r="L120" i="4" s="1"/>
  <c r="U120" i="4" s="1"/>
  <c r="V120" i="4" s="1"/>
  <c r="AL120" i="4"/>
  <c r="B120" i="4"/>
  <c r="AK120" i="4"/>
  <c r="O121" i="4"/>
  <c r="O124" i="15"/>
  <c r="I124" i="15" l="1"/>
  <c r="U124" i="15"/>
  <c r="V124" i="15" s="1"/>
  <c r="L124" i="15"/>
  <c r="M124" i="15" s="1"/>
  <c r="Y120" i="4"/>
  <c r="W120" i="4"/>
  <c r="M120" i="4"/>
  <c r="N120" i="4" s="1"/>
  <c r="I120" i="4"/>
  <c r="Z120" i="4"/>
  <c r="E120" i="4"/>
  <c r="E124" i="15"/>
  <c r="F124" i="15" l="1"/>
  <c r="W124" i="15"/>
  <c r="Y124" i="15"/>
  <c r="N124" i="15"/>
  <c r="P124" i="15"/>
  <c r="P120" i="4"/>
  <c r="F120" i="4"/>
  <c r="Q120" i="4"/>
  <c r="Z124" i="15"/>
  <c r="R124" i="15"/>
  <c r="R120" i="4"/>
  <c r="X124" i="15" l="1"/>
  <c r="AA124" i="15" s="1"/>
  <c r="AB124" i="15" s="1"/>
  <c r="Q124" i="15"/>
  <c r="S124" i="15" s="1"/>
  <c r="G124" i="15"/>
  <c r="S120" i="4"/>
  <c r="T120" i="4" s="1"/>
  <c r="G120" i="4"/>
  <c r="X120" i="4"/>
  <c r="AA120" i="4" s="1"/>
  <c r="AB120" i="4" s="1"/>
  <c r="AC120" i="4"/>
  <c r="H125" i="15"/>
  <c r="H121" i="4"/>
  <c r="AC124" i="15"/>
  <c r="J125" i="15" l="1"/>
  <c r="AF124" i="15"/>
  <c r="AI124" i="15"/>
  <c r="AG124" i="15"/>
  <c r="C125" i="15" s="1"/>
  <c r="AD124" i="15"/>
  <c r="AE124" i="15" s="1"/>
  <c r="T124" i="15"/>
  <c r="K125" i="15"/>
  <c r="AD120" i="4"/>
  <c r="AE120" i="4" s="1"/>
  <c r="AF120" i="4"/>
  <c r="B121" i="4" s="1"/>
  <c r="AG120" i="4"/>
  <c r="C121" i="4" s="1"/>
  <c r="AI120" i="4"/>
  <c r="AJ120" i="4" s="1"/>
  <c r="K121" i="4"/>
  <c r="O122" i="4"/>
  <c r="AH124" i="15" l="1"/>
  <c r="D125" i="15" s="1"/>
  <c r="B125" i="15"/>
  <c r="AK124" i="15"/>
  <c r="AL124" i="15"/>
  <c r="AJ124" i="15"/>
  <c r="AH120" i="4"/>
  <c r="D121" i="4" s="1"/>
  <c r="L121" i="4" s="1"/>
  <c r="U121" i="4" s="1"/>
  <c r="V121" i="4" s="1"/>
  <c r="AK121" i="4"/>
  <c r="AL121" i="4"/>
  <c r="I121" i="4"/>
  <c r="O125" i="15"/>
  <c r="E121" i="4"/>
  <c r="I125" i="15" l="1"/>
  <c r="L125" i="15"/>
  <c r="M125" i="15" s="1"/>
  <c r="U125" i="15"/>
  <c r="V125" i="15" s="1"/>
  <c r="F121" i="4"/>
  <c r="W121" i="4"/>
  <c r="Y121" i="4"/>
  <c r="M121" i="4"/>
  <c r="Z121" i="4"/>
  <c r="E125" i="15"/>
  <c r="F125" i="15" l="1"/>
  <c r="P125" i="15"/>
  <c r="N125" i="15"/>
  <c r="Y125" i="15"/>
  <c r="W125" i="15"/>
  <c r="X121" i="4"/>
  <c r="AA121" i="4" s="1"/>
  <c r="AB121" i="4" s="1"/>
  <c r="P121" i="4"/>
  <c r="N121" i="4"/>
  <c r="Q121" i="4" s="1"/>
  <c r="Z125" i="15"/>
  <c r="R125" i="15"/>
  <c r="R121" i="4"/>
  <c r="X125" i="15" l="1"/>
  <c r="AA125" i="15" s="1"/>
  <c r="AB125" i="15" s="1"/>
  <c r="Q125" i="15"/>
  <c r="S125" i="15" s="1"/>
  <c r="G125" i="15"/>
  <c r="S121" i="4"/>
  <c r="T121" i="4" s="1"/>
  <c r="G121" i="4"/>
  <c r="H122" i="4"/>
  <c r="H126" i="15"/>
  <c r="AC125" i="15"/>
  <c r="AC121" i="4"/>
  <c r="J126" i="15" l="1"/>
  <c r="AG125" i="15"/>
  <c r="C126" i="15" s="1"/>
  <c r="AD125" i="15"/>
  <c r="AE125" i="15" s="1"/>
  <c r="AF125" i="15"/>
  <c r="AI125" i="15"/>
  <c r="T125" i="15"/>
  <c r="K126" i="15"/>
  <c r="K122" i="4"/>
  <c r="AD121" i="4"/>
  <c r="AE121" i="4" s="1"/>
  <c r="AI121" i="4"/>
  <c r="AJ121" i="4" s="1"/>
  <c r="AG121" i="4"/>
  <c r="C122" i="4" s="1"/>
  <c r="AF121" i="4"/>
  <c r="B126" i="15" l="1"/>
  <c r="AH125" i="15"/>
  <c r="D126" i="15" s="1"/>
  <c r="AL125" i="15"/>
  <c r="AJ125" i="15"/>
  <c r="AK125" i="15"/>
  <c r="AH121" i="4"/>
  <c r="D122" i="4" s="1"/>
  <c r="AL122" i="4"/>
  <c r="AK122" i="4"/>
  <c r="B122" i="4"/>
  <c r="O126" i="15"/>
  <c r="O123" i="4"/>
  <c r="L126" i="15" l="1"/>
  <c r="M126" i="15" s="1"/>
  <c r="U126" i="15"/>
  <c r="V126" i="15" s="1"/>
  <c r="I126" i="15"/>
  <c r="I122" i="4"/>
  <c r="L122" i="4"/>
  <c r="U122" i="4" s="1"/>
  <c r="V122" i="4" s="1"/>
  <c r="E122" i="4"/>
  <c r="E126" i="15"/>
  <c r="F126" i="15" l="1"/>
  <c r="Y126" i="15"/>
  <c r="W126" i="15"/>
  <c r="P126" i="15"/>
  <c r="N126" i="15"/>
  <c r="M122" i="4"/>
  <c r="P122" i="4" s="1"/>
  <c r="F122" i="4"/>
  <c r="Y122" i="4"/>
  <c r="W122" i="4"/>
  <c r="Z126" i="15"/>
  <c r="R122" i="4"/>
  <c r="R126" i="15"/>
  <c r="Z122" i="4"/>
  <c r="N122" i="4" l="1"/>
  <c r="Q122" i="4" s="1"/>
  <c r="S122" i="4" s="1"/>
  <c r="X126" i="15"/>
  <c r="AA126" i="15" s="1"/>
  <c r="AB126" i="15" s="1"/>
  <c r="Q126" i="15"/>
  <c r="S126" i="15" s="1"/>
  <c r="G126" i="15"/>
  <c r="X122" i="4"/>
  <c r="AA122" i="4" s="1"/>
  <c r="AB122" i="4" s="1"/>
  <c r="AC122" i="4"/>
  <c r="H127" i="15"/>
  <c r="H123" i="4"/>
  <c r="AC126" i="15"/>
  <c r="G122" i="4" l="1"/>
  <c r="J127" i="15"/>
  <c r="AD126" i="15"/>
  <c r="AE126" i="15" s="1"/>
  <c r="AG126" i="15"/>
  <c r="C127" i="15" s="1"/>
  <c r="AF126" i="15"/>
  <c r="AI126" i="15"/>
  <c r="T126" i="15"/>
  <c r="K127" i="15"/>
  <c r="K123" i="4"/>
  <c r="AD122" i="4"/>
  <c r="AE122" i="4" s="1"/>
  <c r="AI122" i="4"/>
  <c r="AJ122" i="4" s="1"/>
  <c r="AG122" i="4"/>
  <c r="C123" i="4" s="1"/>
  <c r="AF122" i="4"/>
  <c r="T122" i="4"/>
  <c r="AH126" i="15" l="1"/>
  <c r="D127" i="15" s="1"/>
  <c r="B127" i="15"/>
  <c r="AK126" i="15"/>
  <c r="AL126" i="15"/>
  <c r="AJ126" i="15"/>
  <c r="AK123" i="4"/>
  <c r="AL123" i="4"/>
  <c r="B123" i="4"/>
  <c r="AH122" i="4"/>
  <c r="D123" i="4" s="1"/>
  <c r="O127" i="15"/>
  <c r="O124" i="4"/>
  <c r="I127" i="15" l="1"/>
  <c r="L127" i="15"/>
  <c r="M127" i="15" s="1"/>
  <c r="U127" i="15"/>
  <c r="V127" i="15" s="1"/>
  <c r="I123" i="4"/>
  <c r="L123" i="4"/>
  <c r="U123" i="4" s="1"/>
  <c r="V123" i="4" s="1"/>
  <c r="E123" i="4"/>
  <c r="E127" i="15"/>
  <c r="F127" i="15" l="1"/>
  <c r="N127" i="15"/>
  <c r="P127" i="15"/>
  <c r="Y127" i="15"/>
  <c r="W127" i="15"/>
  <c r="X127" i="15" s="1"/>
  <c r="M123" i="4"/>
  <c r="N123" i="4" s="1"/>
  <c r="Q123" i="4" s="1"/>
  <c r="F123" i="4"/>
  <c r="W123" i="4"/>
  <c r="Y123" i="4"/>
  <c r="R127" i="15"/>
  <c r="Z127" i="15"/>
  <c r="Z123" i="4"/>
  <c r="Q127" i="15" l="1"/>
  <c r="S127" i="15" s="1"/>
  <c r="AA127" i="15"/>
  <c r="AB127" i="15" s="1"/>
  <c r="G127" i="15"/>
  <c r="X123" i="4"/>
  <c r="AA123" i="4" s="1"/>
  <c r="AB123" i="4" s="1"/>
  <c r="P123" i="4"/>
  <c r="G123" i="4"/>
  <c r="R123" i="4"/>
  <c r="AC127" i="15"/>
  <c r="H128" i="15"/>
  <c r="J128" i="15" l="1"/>
  <c r="AG127" i="15"/>
  <c r="C128" i="15" s="1"/>
  <c r="AF127" i="15"/>
  <c r="AD127" i="15"/>
  <c r="AE127" i="15" s="1"/>
  <c r="AI127" i="15"/>
  <c r="T127" i="15"/>
  <c r="K128" i="15"/>
  <c r="S123" i="4"/>
  <c r="AC123" i="4"/>
  <c r="H124" i="4"/>
  <c r="AH127" i="15" l="1"/>
  <c r="D128" i="15" s="1"/>
  <c r="B128" i="15"/>
  <c r="AJ127" i="15"/>
  <c r="AK127" i="15"/>
  <c r="AL127" i="15"/>
  <c r="AD123" i="4"/>
  <c r="AE123" i="4" s="1"/>
  <c r="AI123" i="4"/>
  <c r="AJ123" i="4" s="1"/>
  <c r="AF123" i="4"/>
  <c r="B124" i="4" s="1"/>
  <c r="AG123" i="4"/>
  <c r="C124" i="4" s="1"/>
  <c r="K124" i="4"/>
  <c r="T123" i="4"/>
  <c r="O128" i="15"/>
  <c r="O125" i="4"/>
  <c r="I128" i="15" l="1"/>
  <c r="L128" i="15"/>
  <c r="M128" i="15" s="1"/>
  <c r="U128" i="15"/>
  <c r="V128" i="15" s="1"/>
  <c r="AK124" i="4"/>
  <c r="AH123" i="4"/>
  <c r="D124" i="4" s="1"/>
  <c r="L124" i="4" s="1"/>
  <c r="U124" i="4" s="1"/>
  <c r="V124" i="4" s="1"/>
  <c r="AL124" i="4"/>
  <c r="I124" i="4"/>
  <c r="E124" i="4"/>
  <c r="E128" i="15"/>
  <c r="F128" i="15" l="1"/>
  <c r="Y128" i="15"/>
  <c r="W128" i="15"/>
  <c r="N128" i="15"/>
  <c r="Q128" i="15" s="1"/>
  <c r="P128" i="15"/>
  <c r="F124" i="4"/>
  <c r="W124" i="4"/>
  <c r="Y124" i="4"/>
  <c r="M124" i="4"/>
  <c r="Z128" i="15"/>
  <c r="R128" i="15"/>
  <c r="Z124" i="4"/>
  <c r="X128" i="15" l="1"/>
  <c r="AA128" i="15" s="1"/>
  <c r="AB128" i="15" s="1"/>
  <c r="S128" i="15"/>
  <c r="T128" i="15" s="1"/>
  <c r="G128" i="15"/>
  <c r="X124" i="4"/>
  <c r="AA124" i="4" s="1"/>
  <c r="AB124" i="4" s="1"/>
  <c r="N124" i="4"/>
  <c r="P124" i="4"/>
  <c r="R124" i="4"/>
  <c r="H129" i="15"/>
  <c r="AC128" i="15"/>
  <c r="J129" i="15" l="1"/>
  <c r="AD128" i="15"/>
  <c r="AE128" i="15" s="1"/>
  <c r="AG128" i="15"/>
  <c r="C129" i="15" s="1"/>
  <c r="AF128" i="15"/>
  <c r="AI128" i="15"/>
  <c r="K129" i="15"/>
  <c r="Q124" i="4"/>
  <c r="S124" i="4" s="1"/>
  <c r="G124" i="4"/>
  <c r="AC124" i="4"/>
  <c r="H125" i="4"/>
  <c r="B129" i="15" l="1"/>
  <c r="AH128" i="15"/>
  <c r="D129" i="15" s="1"/>
  <c r="AK128" i="15"/>
  <c r="AL128" i="15"/>
  <c r="AJ128" i="15"/>
  <c r="K125" i="4"/>
  <c r="AD124" i="4"/>
  <c r="AE124" i="4" s="1"/>
  <c r="AI124" i="4"/>
  <c r="AJ124" i="4" s="1"/>
  <c r="AG124" i="4"/>
  <c r="C125" i="4" s="1"/>
  <c r="AF124" i="4"/>
  <c r="T124" i="4"/>
  <c r="O129" i="15"/>
  <c r="L129" i="15" l="1"/>
  <c r="M129" i="15" s="1"/>
  <c r="U129" i="15"/>
  <c r="V129" i="15" s="1"/>
  <c r="I129" i="15"/>
  <c r="B125" i="4"/>
  <c r="AH124" i="4"/>
  <c r="D125" i="4" s="1"/>
  <c r="AL125" i="4"/>
  <c r="AK125" i="4"/>
  <c r="E129" i="15"/>
  <c r="O126" i="4"/>
  <c r="F129" i="15" l="1"/>
  <c r="W129" i="15"/>
  <c r="Y129" i="15"/>
  <c r="N129" i="15"/>
  <c r="P129" i="15"/>
  <c r="I125" i="4"/>
  <c r="L125" i="4"/>
  <c r="U125" i="4" s="1"/>
  <c r="V125" i="4" s="1"/>
  <c r="R129" i="15"/>
  <c r="E125" i="4"/>
  <c r="Z129" i="15"/>
  <c r="X129" i="15" l="1"/>
  <c r="AA129" i="15" s="1"/>
  <c r="AB129" i="15" s="1"/>
  <c r="Q129" i="15"/>
  <c r="S129" i="15" s="1"/>
  <c r="G129" i="15"/>
  <c r="M125" i="4"/>
  <c r="N125" i="4" s="1"/>
  <c r="F125" i="4"/>
  <c r="W125" i="4"/>
  <c r="Y125" i="4"/>
  <c r="H130" i="15"/>
  <c r="Z125" i="4"/>
  <c r="AC129" i="15"/>
  <c r="J130" i="15" l="1"/>
  <c r="AI129" i="15"/>
  <c r="AD129" i="15"/>
  <c r="AE129" i="15" s="1"/>
  <c r="AG129" i="15"/>
  <c r="C130" i="15" s="1"/>
  <c r="AF129" i="15"/>
  <c r="T129" i="15"/>
  <c r="K130" i="15"/>
  <c r="X125" i="4"/>
  <c r="AA125" i="4" s="1"/>
  <c r="AB125" i="4" s="1"/>
  <c r="P125" i="4"/>
  <c r="G125" i="4"/>
  <c r="Q125" i="4"/>
  <c r="R125" i="4"/>
  <c r="AK129" i="15" l="1"/>
  <c r="AL129" i="15"/>
  <c r="AJ129" i="15"/>
  <c r="B130" i="15"/>
  <c r="AH129" i="15"/>
  <c r="D130" i="15" s="1"/>
  <c r="S125" i="4"/>
  <c r="T125" i="4" s="1"/>
  <c r="AC125" i="4"/>
  <c r="O130" i="15"/>
  <c r="H126" i="4"/>
  <c r="I130" i="15" l="1"/>
  <c r="U130" i="15"/>
  <c r="V130" i="15" s="1"/>
  <c r="L130" i="15"/>
  <c r="M130" i="15" s="1"/>
  <c r="AF125" i="4"/>
  <c r="AG125" i="4"/>
  <c r="C126" i="4" s="1"/>
  <c r="AD125" i="4"/>
  <c r="AE125" i="4" s="1"/>
  <c r="AI125" i="4"/>
  <c r="AJ125" i="4" s="1"/>
  <c r="K126" i="4"/>
  <c r="E130" i="15"/>
  <c r="AH125" i="4" l="1"/>
  <c r="D126" i="4" s="1"/>
  <c r="L126" i="4" s="1"/>
  <c r="F130" i="15"/>
  <c r="P130" i="15"/>
  <c r="N130" i="15"/>
  <c r="Y130" i="15"/>
  <c r="W130" i="15"/>
  <c r="AL126" i="4"/>
  <c r="AK126" i="4"/>
  <c r="B126" i="4"/>
  <c r="I126" i="4" s="1"/>
  <c r="Z130" i="15"/>
  <c r="O127" i="4"/>
  <c r="R130" i="15"/>
  <c r="E126" i="4"/>
  <c r="X130" i="15" l="1"/>
  <c r="AA130" i="15" s="1"/>
  <c r="AB130" i="15" s="1"/>
  <c r="Q130" i="15"/>
  <c r="S130" i="15" s="1"/>
  <c r="G130" i="15"/>
  <c r="U126" i="4"/>
  <c r="V126" i="4" s="1"/>
  <c r="M126" i="4"/>
  <c r="F126" i="4"/>
  <c r="H131" i="15"/>
  <c r="AC130" i="15"/>
  <c r="J131" i="15" l="1"/>
  <c r="AG130" i="15"/>
  <c r="C131" i="15" s="1"/>
  <c r="AI130" i="15"/>
  <c r="AF130" i="15"/>
  <c r="AD130" i="15"/>
  <c r="AE130" i="15" s="1"/>
  <c r="T130" i="15"/>
  <c r="K131" i="15"/>
  <c r="Y126" i="4"/>
  <c r="W126" i="4"/>
  <c r="X126" i="4" s="1"/>
  <c r="P126" i="4"/>
  <c r="N126" i="4"/>
  <c r="G126" i="4" s="1"/>
  <c r="R126" i="4"/>
  <c r="Z126" i="4"/>
  <c r="AH130" i="15" l="1"/>
  <c r="D131" i="15" s="1"/>
  <c r="B131" i="15"/>
  <c r="AJ130" i="15"/>
  <c r="AK130" i="15"/>
  <c r="AL130" i="15"/>
  <c r="Q126" i="4"/>
  <c r="S126" i="4" s="1"/>
  <c r="AA126" i="4"/>
  <c r="AB126" i="4" s="1"/>
  <c r="H127" i="4"/>
  <c r="AC126" i="4"/>
  <c r="O131" i="15"/>
  <c r="I131" i="15" l="1"/>
  <c r="L131" i="15"/>
  <c r="M131" i="15" s="1"/>
  <c r="U131" i="15"/>
  <c r="V131" i="15" s="1"/>
  <c r="K127" i="4"/>
  <c r="AI126" i="4"/>
  <c r="AJ126" i="4" s="1"/>
  <c r="AF126" i="4"/>
  <c r="AG126" i="4"/>
  <c r="C127" i="4" s="1"/>
  <c r="AD126" i="4"/>
  <c r="AE126" i="4" s="1"/>
  <c r="T126" i="4"/>
  <c r="E131" i="15"/>
  <c r="F131" i="15" l="1"/>
  <c r="Y131" i="15"/>
  <c r="W131" i="15"/>
  <c r="N131" i="15"/>
  <c r="P131" i="15"/>
  <c r="AK127" i="4"/>
  <c r="AL127" i="4"/>
  <c r="AH126" i="4"/>
  <c r="D127" i="4" s="1"/>
  <c r="B127" i="4"/>
  <c r="Z131" i="15"/>
  <c r="R131" i="15"/>
  <c r="O128" i="4"/>
  <c r="X131" i="15" l="1"/>
  <c r="AA131" i="15" s="1"/>
  <c r="AB131" i="15" s="1"/>
  <c r="Q131" i="15"/>
  <c r="S131" i="15" s="1"/>
  <c r="G131" i="15"/>
  <c r="L127" i="4"/>
  <c r="U127" i="4" s="1"/>
  <c r="V127" i="4" s="1"/>
  <c r="I127" i="4"/>
  <c r="AC131" i="15"/>
  <c r="H132" i="15"/>
  <c r="E127" i="4"/>
  <c r="J132" i="15" l="1"/>
  <c r="AD131" i="15"/>
  <c r="AE131" i="15" s="1"/>
  <c r="AG131" i="15"/>
  <c r="C132" i="15" s="1"/>
  <c r="AF131" i="15"/>
  <c r="AI131" i="15"/>
  <c r="T131" i="15"/>
  <c r="K132" i="15"/>
  <c r="M127" i="4"/>
  <c r="P127" i="4" s="1"/>
  <c r="F127" i="4"/>
  <c r="W127" i="4"/>
  <c r="Y127" i="4"/>
  <c r="Z127" i="4"/>
  <c r="R127" i="4"/>
  <c r="B132" i="15" l="1"/>
  <c r="AH131" i="15"/>
  <c r="D132" i="15" s="1"/>
  <c r="AK131" i="15"/>
  <c r="AL131" i="15"/>
  <c r="AJ131" i="15"/>
  <c r="N127" i="4"/>
  <c r="Q127" i="4" s="1"/>
  <c r="S127" i="4" s="1"/>
  <c r="X127" i="4"/>
  <c r="AA127" i="4" s="1"/>
  <c r="AB127" i="4" s="1"/>
  <c r="H128" i="4"/>
  <c r="AC127" i="4"/>
  <c r="O132" i="15"/>
  <c r="L132" i="15" l="1"/>
  <c r="M132" i="15" s="1"/>
  <c r="U132" i="15"/>
  <c r="V132" i="15" s="1"/>
  <c r="I132" i="15"/>
  <c r="G127" i="4"/>
  <c r="AF127" i="4"/>
  <c r="AG127" i="4"/>
  <c r="C128" i="4" s="1"/>
  <c r="AD127" i="4"/>
  <c r="AE127" i="4" s="1"/>
  <c r="AI127" i="4"/>
  <c r="AJ127" i="4" s="1"/>
  <c r="K128" i="4"/>
  <c r="T127" i="4"/>
  <c r="E132" i="15"/>
  <c r="F132" i="15" l="1"/>
  <c r="W132" i="15"/>
  <c r="Y132" i="15"/>
  <c r="N132" i="15"/>
  <c r="P132" i="15"/>
  <c r="AH127" i="4"/>
  <c r="D128" i="4" s="1"/>
  <c r="L128" i="4" s="1"/>
  <c r="U128" i="4" s="1"/>
  <c r="V128" i="4" s="1"/>
  <c r="AK128" i="4"/>
  <c r="B128" i="4"/>
  <c r="AL128" i="4"/>
  <c r="Z132" i="15"/>
  <c r="O129" i="4"/>
  <c r="R132" i="15"/>
  <c r="X132" i="15" l="1"/>
  <c r="AA132" i="15" s="1"/>
  <c r="AB132" i="15" s="1"/>
  <c r="Q132" i="15"/>
  <c r="S132" i="15" s="1"/>
  <c r="G132" i="15"/>
  <c r="M128" i="4"/>
  <c r="N128" i="4" s="1"/>
  <c r="I128" i="4"/>
  <c r="Y128" i="4"/>
  <c r="W128" i="4"/>
  <c r="E128" i="4"/>
  <c r="Z128" i="4"/>
  <c r="AC132" i="15"/>
  <c r="H133" i="15"/>
  <c r="J133" i="15" l="1"/>
  <c r="AG132" i="15"/>
  <c r="C133" i="15" s="1"/>
  <c r="AF132" i="15"/>
  <c r="AD132" i="15"/>
  <c r="AE132" i="15" s="1"/>
  <c r="AI132" i="15"/>
  <c r="T132" i="15"/>
  <c r="K133" i="15"/>
  <c r="P128" i="4"/>
  <c r="F128" i="4"/>
  <c r="G128" i="4" s="1"/>
  <c r="Q128" i="4"/>
  <c r="R128" i="4"/>
  <c r="B133" i="15" l="1"/>
  <c r="AH132" i="15"/>
  <c r="D133" i="15" s="1"/>
  <c r="AL132" i="15"/>
  <c r="AK132" i="15"/>
  <c r="AJ132" i="15"/>
  <c r="S128" i="4"/>
  <c r="X128" i="4"/>
  <c r="AA128" i="4" s="1"/>
  <c r="AB128" i="4" s="1"/>
  <c r="H129" i="4"/>
  <c r="O133" i="15"/>
  <c r="AC128" i="4"/>
  <c r="L133" i="15" l="1"/>
  <c r="M133" i="15" s="1"/>
  <c r="U133" i="15"/>
  <c r="V133" i="15" s="1"/>
  <c r="I133" i="15"/>
  <c r="K129" i="4"/>
  <c r="AI128" i="4"/>
  <c r="AJ128" i="4" s="1"/>
  <c r="AF128" i="4"/>
  <c r="B129" i="4" s="1"/>
  <c r="AD128" i="4"/>
  <c r="AE128" i="4" s="1"/>
  <c r="AG128" i="4"/>
  <c r="C129" i="4" s="1"/>
  <c r="T128" i="4"/>
  <c r="E133" i="15"/>
  <c r="O130" i="4"/>
  <c r="AL129" i="4" l="1"/>
  <c r="F133" i="15"/>
  <c r="W133" i="15"/>
  <c r="Y133" i="15"/>
  <c r="N133" i="15"/>
  <c r="P133" i="15"/>
  <c r="I129" i="4"/>
  <c r="AH128" i="4"/>
  <c r="D129" i="4" s="1"/>
  <c r="L129" i="4" s="1"/>
  <c r="U129" i="4" s="1"/>
  <c r="V129" i="4" s="1"/>
  <c r="Y129" i="4" s="1"/>
  <c r="AK129" i="4"/>
  <c r="Z133" i="15"/>
  <c r="E129" i="4"/>
  <c r="R133" i="15"/>
  <c r="Z129" i="4"/>
  <c r="X133" i="15" l="1"/>
  <c r="AA133" i="15" s="1"/>
  <c r="AB133" i="15" s="1"/>
  <c r="Q133" i="15"/>
  <c r="S133" i="15" s="1"/>
  <c r="G133" i="15"/>
  <c r="F129" i="4"/>
  <c r="M129" i="4"/>
  <c r="P129" i="4" s="1"/>
  <c r="W129" i="4"/>
  <c r="R129" i="4"/>
  <c r="H134" i="15"/>
  <c r="AC133" i="15"/>
  <c r="J134" i="15" l="1"/>
  <c r="AF133" i="15"/>
  <c r="AG133" i="15"/>
  <c r="C134" i="15" s="1"/>
  <c r="AI133" i="15"/>
  <c r="AD133" i="15"/>
  <c r="AE133" i="15" s="1"/>
  <c r="T133" i="15"/>
  <c r="K134" i="15"/>
  <c r="X129" i="4"/>
  <c r="AA129" i="4" s="1"/>
  <c r="AB129" i="4" s="1"/>
  <c r="N129" i="4"/>
  <c r="G129" i="4" s="1"/>
  <c r="AL133" i="15" l="1"/>
  <c r="AJ133" i="15"/>
  <c r="AK133" i="15"/>
  <c r="B134" i="15"/>
  <c r="AH133" i="15"/>
  <c r="D134" i="15" s="1"/>
  <c r="Q129" i="4"/>
  <c r="S129" i="4" s="1"/>
  <c r="T129" i="4" s="1"/>
  <c r="AC129" i="4"/>
  <c r="O134" i="15"/>
  <c r="H130" i="4"/>
  <c r="I134" i="15" l="1"/>
  <c r="U134" i="15"/>
  <c r="V134" i="15" s="1"/>
  <c r="L134" i="15"/>
  <c r="M134" i="15" s="1"/>
  <c r="AI129" i="4"/>
  <c r="AJ129" i="4" s="1"/>
  <c r="AF129" i="4"/>
  <c r="B130" i="4" s="1"/>
  <c r="AG129" i="4"/>
  <c r="C130" i="4" s="1"/>
  <c r="AD129" i="4"/>
  <c r="AE129" i="4" s="1"/>
  <c r="K130" i="4"/>
  <c r="E134" i="15"/>
  <c r="O131" i="4"/>
  <c r="F134" i="15" l="1"/>
  <c r="N134" i="15"/>
  <c r="P134" i="15"/>
  <c r="Y134" i="15"/>
  <c r="W134" i="15"/>
  <c r="I130" i="4"/>
  <c r="AL130" i="4"/>
  <c r="AH129" i="4"/>
  <c r="D130" i="4" s="1"/>
  <c r="L130" i="4" s="1"/>
  <c r="U130" i="4" s="1"/>
  <c r="V130" i="4" s="1"/>
  <c r="AK130" i="4"/>
  <c r="Z134" i="15"/>
  <c r="E130" i="4"/>
  <c r="R134" i="15"/>
  <c r="X134" i="15" l="1"/>
  <c r="AA134" i="15" s="1"/>
  <c r="AB134" i="15" s="1"/>
  <c r="Q134" i="15"/>
  <c r="S134" i="15" s="1"/>
  <c r="G134" i="15"/>
  <c r="F130" i="4"/>
  <c r="Y130" i="4"/>
  <c r="W130" i="4"/>
  <c r="M130" i="4"/>
  <c r="AC134" i="15"/>
  <c r="Z130" i="4"/>
  <c r="H135" i="15"/>
  <c r="J135" i="15" l="1"/>
  <c r="AG134" i="15"/>
  <c r="C135" i="15" s="1"/>
  <c r="AI134" i="15"/>
  <c r="AF134" i="15"/>
  <c r="AD134" i="15"/>
  <c r="AE134" i="15" s="1"/>
  <c r="T134" i="15"/>
  <c r="K135" i="15"/>
  <c r="X130" i="4"/>
  <c r="AA130" i="4" s="1"/>
  <c r="AB130" i="4" s="1"/>
  <c r="N130" i="4"/>
  <c r="P130" i="4"/>
  <c r="R130" i="4"/>
  <c r="AH134" i="15" l="1"/>
  <c r="D135" i="15" s="1"/>
  <c r="B135" i="15"/>
  <c r="AK134" i="15"/>
  <c r="AL134" i="15"/>
  <c r="AJ134" i="15"/>
  <c r="Q130" i="4"/>
  <c r="S130" i="4" s="1"/>
  <c r="G130" i="4"/>
  <c r="AC130" i="4"/>
  <c r="O135" i="15"/>
  <c r="H131" i="4"/>
  <c r="I135" i="15" l="1"/>
  <c r="L135" i="15"/>
  <c r="M135" i="15" s="1"/>
  <c r="U135" i="15"/>
  <c r="V135" i="15" s="1"/>
  <c r="K131" i="4"/>
  <c r="AF130" i="4"/>
  <c r="AI130" i="4"/>
  <c r="AJ130" i="4" s="1"/>
  <c r="AD130" i="4"/>
  <c r="AE130" i="4" s="1"/>
  <c r="AG130" i="4"/>
  <c r="C131" i="4" s="1"/>
  <c r="T130" i="4"/>
  <c r="E135" i="15"/>
  <c r="F135" i="15" l="1"/>
  <c r="W135" i="15"/>
  <c r="Y135" i="15"/>
  <c r="N135" i="15"/>
  <c r="P135" i="15"/>
  <c r="AL131" i="4"/>
  <c r="AK131" i="4"/>
  <c r="B131" i="4"/>
  <c r="AH130" i="4"/>
  <c r="D131" i="4" s="1"/>
  <c r="Z135" i="15"/>
  <c r="R135" i="15"/>
  <c r="O132" i="4"/>
  <c r="X135" i="15" l="1"/>
  <c r="AA135" i="15" s="1"/>
  <c r="AB135" i="15" s="1"/>
  <c r="Q135" i="15"/>
  <c r="S135" i="15" s="1"/>
  <c r="G135" i="15"/>
  <c r="I131" i="4"/>
  <c r="L131" i="4"/>
  <c r="U131" i="4" s="1"/>
  <c r="V131" i="4" s="1"/>
  <c r="AC135" i="15"/>
  <c r="E131" i="4"/>
  <c r="H136" i="15"/>
  <c r="J136" i="15" l="1"/>
  <c r="AG135" i="15"/>
  <c r="C136" i="15" s="1"/>
  <c r="AI135" i="15"/>
  <c r="AF135" i="15"/>
  <c r="AD135" i="15"/>
  <c r="AE135" i="15" s="1"/>
  <c r="T135" i="15"/>
  <c r="K136" i="15"/>
  <c r="F131" i="4"/>
  <c r="W131" i="4"/>
  <c r="Y131" i="4"/>
  <c r="M131" i="4"/>
  <c r="Z131" i="4"/>
  <c r="B136" i="15" l="1"/>
  <c r="AH135" i="15"/>
  <c r="D136" i="15" s="1"/>
  <c r="AK135" i="15"/>
  <c r="AJ135" i="15"/>
  <c r="AL135" i="15"/>
  <c r="X131" i="4"/>
  <c r="AA131" i="4" s="1"/>
  <c r="AB131" i="4" s="1"/>
  <c r="N131" i="4"/>
  <c r="G131" i="4" s="1"/>
  <c r="P131" i="4"/>
  <c r="O136" i="15"/>
  <c r="R131" i="4"/>
  <c r="U136" i="15" l="1"/>
  <c r="V136" i="15" s="1"/>
  <c r="L136" i="15"/>
  <c r="M136" i="15" s="1"/>
  <c r="I136" i="15"/>
  <c r="Q131" i="4"/>
  <c r="S131" i="4" s="1"/>
  <c r="T131" i="4" s="1"/>
  <c r="H132" i="4"/>
  <c r="E136" i="15"/>
  <c r="AC131" i="4"/>
  <c r="F136" i="15" l="1"/>
  <c r="P136" i="15"/>
  <c r="N136" i="15"/>
  <c r="Y136" i="15"/>
  <c r="W136" i="15"/>
  <c r="X136" i="15" s="1"/>
  <c r="K132" i="4"/>
  <c r="AD131" i="4"/>
  <c r="AE131" i="4" s="1"/>
  <c r="AI131" i="4"/>
  <c r="AJ131" i="4" s="1"/>
  <c r="AG131" i="4"/>
  <c r="C132" i="4" s="1"/>
  <c r="AF131" i="4"/>
  <c r="Z136" i="15"/>
  <c r="R136" i="15"/>
  <c r="G136" i="15" l="1"/>
  <c r="Q136" i="15"/>
  <c r="S136" i="15" s="1"/>
  <c r="AA136" i="15"/>
  <c r="AB136" i="15" s="1"/>
  <c r="AL132" i="4"/>
  <c r="AK132" i="4"/>
  <c r="B132" i="4"/>
  <c r="AH131" i="4"/>
  <c r="D132" i="4" s="1"/>
  <c r="AC136" i="15"/>
  <c r="O133" i="4"/>
  <c r="H137" i="15"/>
  <c r="J137" i="15" l="1"/>
  <c r="AD136" i="15"/>
  <c r="AE136" i="15" s="1"/>
  <c r="AG136" i="15"/>
  <c r="C137" i="15" s="1"/>
  <c r="AF136" i="15"/>
  <c r="AI136" i="15"/>
  <c r="T136" i="15"/>
  <c r="K137" i="15"/>
  <c r="L132" i="4"/>
  <c r="U132" i="4" s="1"/>
  <c r="V132" i="4" s="1"/>
  <c r="I132" i="4"/>
  <c r="E132" i="4"/>
  <c r="B137" i="15" l="1"/>
  <c r="AH136" i="15"/>
  <c r="D137" i="15" s="1"/>
  <c r="AL136" i="15"/>
  <c r="AJ136" i="15"/>
  <c r="AK136" i="15"/>
  <c r="F132" i="4"/>
  <c r="W132" i="4"/>
  <c r="Y132" i="4"/>
  <c r="M132" i="4"/>
  <c r="O137" i="15"/>
  <c r="Z132" i="4"/>
  <c r="U137" i="15" l="1"/>
  <c r="V137" i="15" s="1"/>
  <c r="L137" i="15"/>
  <c r="M137" i="15" s="1"/>
  <c r="I137" i="15"/>
  <c r="X132" i="4"/>
  <c r="AA132" i="4" s="1"/>
  <c r="AB132" i="4" s="1"/>
  <c r="N132" i="4"/>
  <c r="Q132" i="4" s="1"/>
  <c r="P132" i="4"/>
  <c r="E137" i="15"/>
  <c r="R132" i="4"/>
  <c r="F137" i="15" l="1"/>
  <c r="N137" i="15"/>
  <c r="P137" i="15"/>
  <c r="Y137" i="15"/>
  <c r="W137" i="15"/>
  <c r="S132" i="4"/>
  <c r="T132" i="4" s="1"/>
  <c r="G132" i="4"/>
  <c r="R137" i="15"/>
  <c r="H133" i="4"/>
  <c r="Z137" i="15"/>
  <c r="AC132" i="4"/>
  <c r="X137" i="15" l="1"/>
  <c r="AA137" i="15" s="1"/>
  <c r="AB137" i="15" s="1"/>
  <c r="Q137" i="15"/>
  <c r="S137" i="15" s="1"/>
  <c r="G137" i="15"/>
  <c r="K133" i="4"/>
  <c r="AD132" i="4"/>
  <c r="AE132" i="4" s="1"/>
  <c r="AI132" i="4"/>
  <c r="AJ132" i="4" s="1"/>
  <c r="AG132" i="4"/>
  <c r="C133" i="4" s="1"/>
  <c r="AF132" i="4"/>
  <c r="H138" i="15"/>
  <c r="AC137" i="15"/>
  <c r="J138" i="15" l="1"/>
  <c r="AI137" i="15"/>
  <c r="AF137" i="15"/>
  <c r="AD137" i="15"/>
  <c r="AE137" i="15" s="1"/>
  <c r="AG137" i="15"/>
  <c r="C138" i="15" s="1"/>
  <c r="T137" i="15"/>
  <c r="K138" i="15"/>
  <c r="B133" i="4"/>
  <c r="AH132" i="4"/>
  <c r="D133" i="4" s="1"/>
  <c r="AL133" i="4"/>
  <c r="AK133" i="4"/>
  <c r="O134" i="4"/>
  <c r="AL137" i="15" l="1"/>
  <c r="AK137" i="15"/>
  <c r="AJ137" i="15"/>
  <c r="B138" i="15"/>
  <c r="AH137" i="15"/>
  <c r="D138" i="15" s="1"/>
  <c r="I133" i="4"/>
  <c r="L133" i="4"/>
  <c r="U133" i="4" s="1"/>
  <c r="V133" i="4" s="1"/>
  <c r="E133" i="4"/>
  <c r="O138" i="15"/>
  <c r="I138" i="15" l="1"/>
  <c r="L138" i="15"/>
  <c r="M138" i="15" s="1"/>
  <c r="U138" i="15"/>
  <c r="V138" i="15" s="1"/>
  <c r="M133" i="4"/>
  <c r="P133" i="4" s="1"/>
  <c r="F133" i="4"/>
  <c r="Y133" i="4"/>
  <c r="W133" i="4"/>
  <c r="Z133" i="4"/>
  <c r="R133" i="4"/>
  <c r="E138" i="15"/>
  <c r="N133" i="4" l="1"/>
  <c r="Q133" i="4" s="1"/>
  <c r="S133" i="4" s="1"/>
  <c r="F138" i="15"/>
  <c r="N138" i="15"/>
  <c r="P138" i="15"/>
  <c r="W138" i="15"/>
  <c r="Y138" i="15"/>
  <c r="X133" i="4"/>
  <c r="AA133" i="4" s="1"/>
  <c r="AB133" i="4" s="1"/>
  <c r="R138" i="15"/>
  <c r="Z138" i="15"/>
  <c r="AC133" i="4"/>
  <c r="H134" i="4"/>
  <c r="G133" i="4" l="1"/>
  <c r="X138" i="15"/>
  <c r="AA138" i="15" s="1"/>
  <c r="AB138" i="15" s="1"/>
  <c r="Q138" i="15"/>
  <c r="S138" i="15" s="1"/>
  <c r="G138" i="15"/>
  <c r="K134" i="4"/>
  <c r="AI133" i="4"/>
  <c r="AJ133" i="4" s="1"/>
  <c r="AD133" i="4"/>
  <c r="AE133" i="4" s="1"/>
  <c r="AG133" i="4"/>
  <c r="C134" i="4" s="1"/>
  <c r="AF133" i="4"/>
  <c r="T133" i="4"/>
  <c r="H139" i="15"/>
  <c r="AC138" i="15"/>
  <c r="J139" i="15" l="1"/>
  <c r="AG138" i="15"/>
  <c r="C139" i="15" s="1"/>
  <c r="AF138" i="15"/>
  <c r="AI138" i="15"/>
  <c r="AD138" i="15"/>
  <c r="AE138" i="15" s="1"/>
  <c r="T138" i="15"/>
  <c r="K139" i="15"/>
  <c r="AH133" i="4"/>
  <c r="D134" i="4" s="1"/>
  <c r="L134" i="4" s="1"/>
  <c r="U134" i="4" s="1"/>
  <c r="V134" i="4" s="1"/>
  <c r="B134" i="4"/>
  <c r="AL134" i="4"/>
  <c r="AK134" i="4"/>
  <c r="O135" i="4"/>
  <c r="AK138" i="15" l="1"/>
  <c r="AJ138" i="15"/>
  <c r="AL138" i="15"/>
  <c r="B139" i="15"/>
  <c r="AH138" i="15"/>
  <c r="D139" i="15" s="1"/>
  <c r="M134" i="4"/>
  <c r="N134" i="4" s="1"/>
  <c r="I134" i="4"/>
  <c r="W134" i="4"/>
  <c r="Y134" i="4"/>
  <c r="O139" i="15"/>
  <c r="E134" i="4"/>
  <c r="Z134" i="4"/>
  <c r="I139" i="15" l="1"/>
  <c r="L139" i="15"/>
  <c r="M139" i="15" s="1"/>
  <c r="U139" i="15"/>
  <c r="V139" i="15" s="1"/>
  <c r="P134" i="4"/>
  <c r="F134" i="4"/>
  <c r="Q134" i="4"/>
  <c r="E139" i="15"/>
  <c r="R134" i="4"/>
  <c r="F139" i="15" l="1"/>
  <c r="W139" i="15"/>
  <c r="Y139" i="15"/>
  <c r="P139" i="15"/>
  <c r="N139" i="15"/>
  <c r="S134" i="4"/>
  <c r="T134" i="4" s="1"/>
  <c r="G134" i="4"/>
  <c r="X134" i="4"/>
  <c r="AA134" i="4" s="1"/>
  <c r="AB134" i="4" s="1"/>
  <c r="R139" i="15"/>
  <c r="AC134" i="4"/>
  <c r="Z139" i="15"/>
  <c r="H135" i="4"/>
  <c r="X139" i="15" l="1"/>
  <c r="AA139" i="15" s="1"/>
  <c r="AB139" i="15" s="1"/>
  <c r="Q139" i="15"/>
  <c r="S139" i="15" s="1"/>
  <c r="G139" i="15"/>
  <c r="AI134" i="4"/>
  <c r="AJ134" i="4" s="1"/>
  <c r="AD134" i="4"/>
  <c r="AE134" i="4" s="1"/>
  <c r="AF134" i="4"/>
  <c r="B135" i="4" s="1"/>
  <c r="AG134" i="4"/>
  <c r="C135" i="4" s="1"/>
  <c r="K135" i="4"/>
  <c r="AC139" i="15"/>
  <c r="H140" i="15"/>
  <c r="O136" i="4"/>
  <c r="J140" i="15" l="1"/>
  <c r="AF139" i="15"/>
  <c r="AI139" i="15"/>
  <c r="AD139" i="15"/>
  <c r="AE139" i="15" s="1"/>
  <c r="AG139" i="15"/>
  <c r="C140" i="15" s="1"/>
  <c r="T139" i="15"/>
  <c r="K140" i="15"/>
  <c r="AL135" i="4"/>
  <c r="AH134" i="4"/>
  <c r="D135" i="4" s="1"/>
  <c r="L135" i="4" s="1"/>
  <c r="U135" i="4" s="1"/>
  <c r="V135" i="4" s="1"/>
  <c r="AK135" i="4"/>
  <c r="I135" i="4"/>
  <c r="E135" i="4"/>
  <c r="AJ139" i="15" l="1"/>
  <c r="AL139" i="15"/>
  <c r="AK139" i="15"/>
  <c r="B140" i="15"/>
  <c r="AH139" i="15"/>
  <c r="D140" i="15" s="1"/>
  <c r="F135" i="4"/>
  <c r="Y135" i="4"/>
  <c r="W135" i="4"/>
  <c r="M135" i="4"/>
  <c r="Z135" i="4"/>
  <c r="O140" i="15"/>
  <c r="I140" i="15" l="1"/>
  <c r="U140" i="15"/>
  <c r="V140" i="15" s="1"/>
  <c r="L140" i="15"/>
  <c r="M140" i="15" s="1"/>
  <c r="N135" i="4"/>
  <c r="G135" i="4" s="1"/>
  <c r="P135" i="4"/>
  <c r="X135" i="4"/>
  <c r="AA135" i="4" s="1"/>
  <c r="AB135" i="4" s="1"/>
  <c r="E140" i="15"/>
  <c r="R135" i="4"/>
  <c r="F140" i="15" l="1"/>
  <c r="N140" i="15"/>
  <c r="P140" i="15"/>
  <c r="W140" i="15"/>
  <c r="Y140" i="15"/>
  <c r="Q135" i="4"/>
  <c r="S135" i="4" s="1"/>
  <c r="H136" i="4"/>
  <c r="R140" i="15"/>
  <c r="Z140" i="15"/>
  <c r="AC135" i="4"/>
  <c r="X140" i="15" l="1"/>
  <c r="AA140" i="15" s="1"/>
  <c r="AB140" i="15" s="1"/>
  <c r="Q140" i="15"/>
  <c r="S140" i="15" s="1"/>
  <c r="G140" i="15"/>
  <c r="K136" i="4"/>
  <c r="AI135" i="4"/>
  <c r="AJ135" i="4" s="1"/>
  <c r="AD135" i="4"/>
  <c r="AE135" i="4" s="1"/>
  <c r="AG135" i="4"/>
  <c r="C136" i="4" s="1"/>
  <c r="AF135" i="4"/>
  <c r="T135" i="4"/>
  <c r="H141" i="15"/>
  <c r="AC140" i="15"/>
  <c r="J141" i="15" l="1"/>
  <c r="AD140" i="15"/>
  <c r="AE140" i="15" s="1"/>
  <c r="AG140" i="15"/>
  <c r="C141" i="15" s="1"/>
  <c r="AF140" i="15"/>
  <c r="AI140" i="15"/>
  <c r="T140" i="15"/>
  <c r="K141" i="15"/>
  <c r="AL136" i="4"/>
  <c r="B136" i="4"/>
  <c r="AH135" i="4"/>
  <c r="D136" i="4" s="1"/>
  <c r="AK136" i="4"/>
  <c r="O137" i="4"/>
  <c r="B141" i="15" l="1"/>
  <c r="AH140" i="15"/>
  <c r="D141" i="15" s="1"/>
  <c r="AK140" i="15"/>
  <c r="AJ140" i="15"/>
  <c r="AL140" i="15"/>
  <c r="I136" i="4"/>
  <c r="L136" i="4"/>
  <c r="U136" i="4" s="1"/>
  <c r="V136" i="4" s="1"/>
  <c r="E136" i="4"/>
  <c r="O141" i="15"/>
  <c r="L141" i="15" l="1"/>
  <c r="M141" i="15" s="1"/>
  <c r="U141" i="15"/>
  <c r="V141" i="15" s="1"/>
  <c r="I141" i="15"/>
  <c r="F136" i="4"/>
  <c r="Y136" i="4"/>
  <c r="W136" i="4"/>
  <c r="M136" i="4"/>
  <c r="Z136" i="4"/>
  <c r="E141" i="15"/>
  <c r="F141" i="15" l="1"/>
  <c r="W141" i="15"/>
  <c r="Y141" i="15"/>
  <c r="P141" i="15"/>
  <c r="N141" i="15"/>
  <c r="X136" i="4"/>
  <c r="AA136" i="4" s="1"/>
  <c r="AB136" i="4" s="1"/>
  <c r="N136" i="4"/>
  <c r="G136" i="4" s="1"/>
  <c r="P136" i="4"/>
  <c r="Z141" i="15"/>
  <c r="R136" i="4"/>
  <c r="R141" i="15"/>
  <c r="X141" i="15" l="1"/>
  <c r="AA141" i="15" s="1"/>
  <c r="AB141" i="15" s="1"/>
  <c r="Q141" i="15"/>
  <c r="S141" i="15" s="1"/>
  <c r="G141" i="15"/>
  <c r="Q136" i="4"/>
  <c r="S136" i="4" s="1"/>
  <c r="T136" i="4" s="1"/>
  <c r="AC141" i="15"/>
  <c r="H137" i="4"/>
  <c r="H142" i="15"/>
  <c r="AC136" i="4"/>
  <c r="J142" i="15" l="1"/>
  <c r="AF141" i="15"/>
  <c r="AG141" i="15"/>
  <c r="C142" i="15" s="1"/>
  <c r="AI141" i="15"/>
  <c r="AD141" i="15"/>
  <c r="AE141" i="15" s="1"/>
  <c r="T141" i="15"/>
  <c r="K142" i="15"/>
  <c r="K137" i="4"/>
  <c r="AD136" i="4"/>
  <c r="AE136" i="4" s="1"/>
  <c r="AI136" i="4"/>
  <c r="AJ136" i="4" s="1"/>
  <c r="AG136" i="4"/>
  <c r="C137" i="4" s="1"/>
  <c r="AF136" i="4"/>
  <c r="AL141" i="15" l="1"/>
  <c r="AK141" i="15"/>
  <c r="AJ141" i="15"/>
  <c r="AH141" i="15"/>
  <c r="D142" i="15" s="1"/>
  <c r="B142" i="15"/>
  <c r="AL137" i="4"/>
  <c r="B137" i="4"/>
  <c r="AH136" i="4"/>
  <c r="D137" i="4" s="1"/>
  <c r="AK137" i="4"/>
  <c r="O142" i="15"/>
  <c r="O138" i="4"/>
  <c r="U142" i="15" l="1"/>
  <c r="V142" i="15" s="1"/>
  <c r="L142" i="15"/>
  <c r="M142" i="15" s="1"/>
  <c r="I142" i="15"/>
  <c r="I137" i="4"/>
  <c r="L137" i="4"/>
  <c r="U137" i="4" s="1"/>
  <c r="V137" i="4" s="1"/>
  <c r="E142" i="15"/>
  <c r="E137" i="4"/>
  <c r="F142" i="15" l="1"/>
  <c r="P142" i="15"/>
  <c r="N142" i="15"/>
  <c r="W142" i="15"/>
  <c r="Y142" i="15"/>
  <c r="F137" i="4"/>
  <c r="Y137" i="4"/>
  <c r="W137" i="4"/>
  <c r="M137" i="4"/>
  <c r="R142" i="15"/>
  <c r="Z137" i="4"/>
  <c r="Z142" i="15"/>
  <c r="X142" i="15" l="1"/>
  <c r="AA142" i="15" s="1"/>
  <c r="AB142" i="15" s="1"/>
  <c r="Q142" i="15"/>
  <c r="S142" i="15" s="1"/>
  <c r="G142" i="15"/>
  <c r="P137" i="4"/>
  <c r="N137" i="4"/>
  <c r="X137" i="4"/>
  <c r="AA137" i="4" s="1"/>
  <c r="AB137" i="4" s="1"/>
  <c r="R137" i="4"/>
  <c r="H143" i="15"/>
  <c r="AC142" i="15"/>
  <c r="J143" i="15" l="1"/>
  <c r="AG142" i="15"/>
  <c r="C143" i="15" s="1"/>
  <c r="AF142" i="15"/>
  <c r="AI142" i="15"/>
  <c r="AD142" i="15"/>
  <c r="AE142" i="15" s="1"/>
  <c r="T142" i="15"/>
  <c r="K143" i="15"/>
  <c r="Q137" i="4"/>
  <c r="S137" i="4" s="1"/>
  <c r="G137" i="4"/>
  <c r="AC137" i="4"/>
  <c r="H138" i="4"/>
  <c r="AH142" i="15" l="1"/>
  <c r="D143" i="15" s="1"/>
  <c r="B143" i="15"/>
  <c r="AJ142" i="15"/>
  <c r="AL142" i="15"/>
  <c r="AK142" i="15"/>
  <c r="K138" i="4"/>
  <c r="AI137" i="4"/>
  <c r="AJ137" i="4" s="1"/>
  <c r="AD137" i="4"/>
  <c r="AE137" i="4" s="1"/>
  <c r="AG137" i="4"/>
  <c r="C138" i="4" s="1"/>
  <c r="AF137" i="4"/>
  <c r="T137" i="4"/>
  <c r="O143" i="15"/>
  <c r="I143" i="15" l="1"/>
  <c r="U143" i="15"/>
  <c r="V143" i="15" s="1"/>
  <c r="L143" i="15"/>
  <c r="M143" i="15" s="1"/>
  <c r="AH137" i="4"/>
  <c r="D138" i="4" s="1"/>
  <c r="L138" i="4" s="1"/>
  <c r="U138" i="4" s="1"/>
  <c r="V138" i="4" s="1"/>
  <c r="AL138" i="4"/>
  <c r="B138" i="4"/>
  <c r="AK138" i="4"/>
  <c r="E143" i="15"/>
  <c r="O139" i="4"/>
  <c r="F143" i="15" l="1"/>
  <c r="N143" i="15"/>
  <c r="Q143" i="15" s="1"/>
  <c r="P143" i="15"/>
  <c r="Y143" i="15"/>
  <c r="W143" i="15"/>
  <c r="X143" i="15" s="1"/>
  <c r="W138" i="4"/>
  <c r="Y138" i="4"/>
  <c r="M138" i="4"/>
  <c r="N138" i="4" s="1"/>
  <c r="I138" i="4"/>
  <c r="R143" i="15"/>
  <c r="Z138" i="4"/>
  <c r="Z143" i="15"/>
  <c r="E138" i="4"/>
  <c r="S143" i="15" l="1"/>
  <c r="AA143" i="15"/>
  <c r="AB143" i="15" s="1"/>
  <c r="G143" i="15"/>
  <c r="P138" i="4"/>
  <c r="F138" i="4"/>
  <c r="Q138" i="4"/>
  <c r="R138" i="4"/>
  <c r="AC143" i="15"/>
  <c r="H144" i="15"/>
  <c r="J144" i="15" l="1"/>
  <c r="AD143" i="15"/>
  <c r="AE143" i="15" s="1"/>
  <c r="AG143" i="15"/>
  <c r="C144" i="15" s="1"/>
  <c r="AF143" i="15"/>
  <c r="AI143" i="15"/>
  <c r="T143" i="15"/>
  <c r="K144" i="15"/>
  <c r="S138" i="4"/>
  <c r="T138" i="4" s="1"/>
  <c r="G138" i="4"/>
  <c r="X138" i="4"/>
  <c r="AA138" i="4" s="1"/>
  <c r="AB138" i="4" s="1"/>
  <c r="AC138" i="4"/>
  <c r="H139" i="4"/>
  <c r="B144" i="15" l="1"/>
  <c r="AH143" i="15"/>
  <c r="D144" i="15" s="1"/>
  <c r="AK143" i="15"/>
  <c r="AJ143" i="15"/>
  <c r="AL143" i="15"/>
  <c r="AD138" i="4"/>
  <c r="AE138" i="4" s="1"/>
  <c r="AI138" i="4"/>
  <c r="AJ138" i="4" s="1"/>
  <c r="AF138" i="4"/>
  <c r="B139" i="4" s="1"/>
  <c r="AG138" i="4"/>
  <c r="C139" i="4" s="1"/>
  <c r="K139" i="4"/>
  <c r="O140" i="4"/>
  <c r="O144" i="15"/>
  <c r="L144" i="15" l="1"/>
  <c r="M144" i="15" s="1"/>
  <c r="U144" i="15"/>
  <c r="V144" i="15" s="1"/>
  <c r="I144" i="15"/>
  <c r="AK139" i="4"/>
  <c r="AL139" i="4"/>
  <c r="AH138" i="4"/>
  <c r="D139" i="4" s="1"/>
  <c r="L139" i="4" s="1"/>
  <c r="U139" i="4" s="1"/>
  <c r="V139" i="4" s="1"/>
  <c r="W139" i="4" s="1"/>
  <c r="I139" i="4"/>
  <c r="E139" i="4"/>
  <c r="E144" i="15"/>
  <c r="F144" i="15" l="1"/>
  <c r="Y144" i="15"/>
  <c r="W144" i="15"/>
  <c r="N144" i="15"/>
  <c r="P144" i="15"/>
  <c r="Y139" i="4"/>
  <c r="M139" i="4"/>
  <c r="F139" i="4"/>
  <c r="Z144" i="15"/>
  <c r="R144" i="15"/>
  <c r="Z139" i="4"/>
  <c r="X144" i="15" l="1"/>
  <c r="AA144" i="15" s="1"/>
  <c r="AB144" i="15" s="1"/>
  <c r="Q144" i="15"/>
  <c r="S144" i="15" s="1"/>
  <c r="G144" i="15"/>
  <c r="N139" i="4"/>
  <c r="G139" i="4" s="1"/>
  <c r="P139" i="4"/>
  <c r="X139" i="4"/>
  <c r="AA139" i="4" s="1"/>
  <c r="AB139" i="4" s="1"/>
  <c r="R139" i="4"/>
  <c r="H145" i="15"/>
  <c r="AC144" i="15"/>
  <c r="J145" i="15" l="1"/>
  <c r="AF144" i="15"/>
  <c r="AI144" i="15"/>
  <c r="AD144" i="15"/>
  <c r="AE144" i="15" s="1"/>
  <c r="AG144" i="15"/>
  <c r="C145" i="15" s="1"/>
  <c r="T144" i="15"/>
  <c r="K145" i="15"/>
  <c r="Q139" i="4"/>
  <c r="S139" i="4" s="1"/>
  <c r="AC139" i="4"/>
  <c r="H140" i="4"/>
  <c r="AK144" i="15" l="1"/>
  <c r="AJ144" i="15"/>
  <c r="AL144" i="15"/>
  <c r="AH144" i="15"/>
  <c r="D145" i="15" s="1"/>
  <c r="B145" i="15"/>
  <c r="K140" i="4"/>
  <c r="AD139" i="4"/>
  <c r="AE139" i="4" s="1"/>
  <c r="AG139" i="4"/>
  <c r="C140" i="4" s="1"/>
  <c r="AF139" i="4"/>
  <c r="AI139" i="4"/>
  <c r="AJ139" i="4" s="1"/>
  <c r="T139" i="4"/>
  <c r="O145" i="15"/>
  <c r="L145" i="15" l="1"/>
  <c r="M145" i="15" s="1"/>
  <c r="U145" i="15"/>
  <c r="V145" i="15" s="1"/>
  <c r="I145" i="15"/>
  <c r="AK140" i="4"/>
  <c r="AH139" i="4"/>
  <c r="D140" i="4" s="1"/>
  <c r="L140" i="4" s="1"/>
  <c r="U140" i="4" s="1"/>
  <c r="V140" i="4" s="1"/>
  <c r="B140" i="4"/>
  <c r="AL140" i="4"/>
  <c r="O141" i="4"/>
  <c r="E145" i="15"/>
  <c r="F145" i="15" l="1"/>
  <c r="Y145" i="15"/>
  <c r="W145" i="15"/>
  <c r="P145" i="15"/>
  <c r="N145" i="15"/>
  <c r="Y140" i="4"/>
  <c r="M140" i="4"/>
  <c r="P140" i="4" s="1"/>
  <c r="W140" i="4"/>
  <c r="I140" i="4"/>
  <c r="Z145" i="15"/>
  <c r="Z140" i="4"/>
  <c r="R145" i="15"/>
  <c r="R140" i="4"/>
  <c r="E140" i="4"/>
  <c r="X145" i="15" l="1"/>
  <c r="AA145" i="15" s="1"/>
  <c r="AB145" i="15" s="1"/>
  <c r="N140" i="4"/>
  <c r="Q140" i="4" s="1"/>
  <c r="S140" i="4" s="1"/>
  <c r="T140" i="4" s="1"/>
  <c r="Q145" i="15"/>
  <c r="S145" i="15" s="1"/>
  <c r="G145" i="15"/>
  <c r="F140" i="4"/>
  <c r="X140" i="4" s="1"/>
  <c r="AA140" i="4" s="1"/>
  <c r="AB140" i="4" s="1"/>
  <c r="AC140" i="4"/>
  <c r="H141" i="4"/>
  <c r="H146" i="15"/>
  <c r="AC145" i="15"/>
  <c r="J146" i="15" l="1"/>
  <c r="AD145" i="15"/>
  <c r="AE145" i="15" s="1"/>
  <c r="AG145" i="15"/>
  <c r="C146" i="15" s="1"/>
  <c r="AF145" i="15"/>
  <c r="AI145" i="15"/>
  <c r="T145" i="15"/>
  <c r="K146" i="15"/>
  <c r="G140" i="4"/>
  <c r="K141" i="4"/>
  <c r="AD140" i="4"/>
  <c r="AE140" i="4" s="1"/>
  <c r="AG140" i="4"/>
  <c r="C141" i="4" s="1"/>
  <c r="AI140" i="4"/>
  <c r="AJ140" i="4" s="1"/>
  <c r="AF140" i="4"/>
  <c r="B141" i="4" s="1"/>
  <c r="O142" i="4"/>
  <c r="B146" i="15" l="1"/>
  <c r="AH145" i="15"/>
  <c r="D146" i="15" s="1"/>
  <c r="AK145" i="15"/>
  <c r="AJ145" i="15"/>
  <c r="AL145" i="15"/>
  <c r="AH140" i="4"/>
  <c r="D141" i="4" s="1"/>
  <c r="I141" i="4"/>
  <c r="AK141" i="4"/>
  <c r="AL141" i="4"/>
  <c r="E141" i="4"/>
  <c r="O146" i="15"/>
  <c r="L146" i="15" l="1"/>
  <c r="M146" i="15" s="1"/>
  <c r="U146" i="15"/>
  <c r="V146" i="15" s="1"/>
  <c r="I146" i="15"/>
  <c r="F141" i="4"/>
  <c r="L141" i="4"/>
  <c r="U141" i="4" s="1"/>
  <c r="V141" i="4" s="1"/>
  <c r="E146" i="15"/>
  <c r="F146" i="15" l="1"/>
  <c r="W146" i="15"/>
  <c r="Y146" i="15"/>
  <c r="N146" i="15"/>
  <c r="P146" i="15"/>
  <c r="M141" i="4"/>
  <c r="N141" i="4" s="1"/>
  <c r="G141" i="4" s="1"/>
  <c r="Y141" i="4"/>
  <c r="W141" i="4"/>
  <c r="X141" i="4" s="1"/>
  <c r="Z146" i="15"/>
  <c r="R146" i="15"/>
  <c r="Z141" i="4"/>
  <c r="X146" i="15" l="1"/>
  <c r="AA146" i="15" s="1"/>
  <c r="AB146" i="15" s="1"/>
  <c r="Q146" i="15"/>
  <c r="S146" i="15" s="1"/>
  <c r="G146" i="15"/>
  <c r="P141" i="4"/>
  <c r="AA141" i="4"/>
  <c r="AB141" i="4" s="1"/>
  <c r="Q141" i="4"/>
  <c r="R141" i="4"/>
  <c r="H147" i="15"/>
  <c r="AC146" i="15"/>
  <c r="J147" i="15" l="1"/>
  <c r="AF146" i="15"/>
  <c r="AI146" i="15"/>
  <c r="AG146" i="15"/>
  <c r="C147" i="15" s="1"/>
  <c r="AD146" i="15"/>
  <c r="AE146" i="15" s="1"/>
  <c r="T146" i="15"/>
  <c r="K147" i="15"/>
  <c r="S141" i="4"/>
  <c r="AC141" i="4"/>
  <c r="H142" i="4"/>
  <c r="AJ146" i="15" l="1"/>
  <c r="AL146" i="15"/>
  <c r="AK146" i="15"/>
  <c r="B147" i="15"/>
  <c r="AH146" i="15"/>
  <c r="D147" i="15" s="1"/>
  <c r="AI141" i="4"/>
  <c r="AJ141" i="4" s="1"/>
  <c r="AF141" i="4"/>
  <c r="B142" i="4" s="1"/>
  <c r="AG141" i="4"/>
  <c r="C142" i="4" s="1"/>
  <c r="AD141" i="4"/>
  <c r="AE141" i="4" s="1"/>
  <c r="K142" i="4"/>
  <c r="T141" i="4"/>
  <c r="O147" i="15"/>
  <c r="O143" i="4"/>
  <c r="I147" i="15" l="1"/>
  <c r="L147" i="15"/>
  <c r="M147" i="15" s="1"/>
  <c r="U147" i="15"/>
  <c r="V147" i="15" s="1"/>
  <c r="AL142" i="4"/>
  <c r="AH141" i="4"/>
  <c r="D142" i="4" s="1"/>
  <c r="L142" i="4" s="1"/>
  <c r="U142" i="4" s="1"/>
  <c r="V142" i="4" s="1"/>
  <c r="AK142" i="4"/>
  <c r="I142" i="4"/>
  <c r="E142" i="4"/>
  <c r="E147" i="15"/>
  <c r="F147" i="15" l="1"/>
  <c r="W147" i="15"/>
  <c r="Y147" i="15"/>
  <c r="P147" i="15"/>
  <c r="N147" i="15"/>
  <c r="F142" i="4"/>
  <c r="W142" i="4"/>
  <c r="Y142" i="4"/>
  <c r="M142" i="4"/>
  <c r="R147" i="15"/>
  <c r="Z147" i="15"/>
  <c r="Z142" i="4"/>
  <c r="X147" i="15" l="1"/>
  <c r="AA147" i="15" s="1"/>
  <c r="AB147" i="15" s="1"/>
  <c r="Q147" i="15"/>
  <c r="S147" i="15" s="1"/>
  <c r="G147" i="15"/>
  <c r="X142" i="4"/>
  <c r="AA142" i="4" s="1"/>
  <c r="AB142" i="4" s="1"/>
  <c r="N142" i="4"/>
  <c r="Q142" i="4" s="1"/>
  <c r="P142" i="4"/>
  <c r="R142" i="4"/>
  <c r="AC147" i="15"/>
  <c r="H148" i="15"/>
  <c r="J148" i="15" l="1"/>
  <c r="AG147" i="15"/>
  <c r="C148" i="15" s="1"/>
  <c r="AF147" i="15"/>
  <c r="AI147" i="15"/>
  <c r="AD147" i="15"/>
  <c r="AE147" i="15" s="1"/>
  <c r="T147" i="15"/>
  <c r="K148" i="15"/>
  <c r="G142" i="4"/>
  <c r="S142" i="4"/>
  <c r="T142" i="4" s="1"/>
  <c r="H143" i="4"/>
  <c r="AC142" i="4"/>
  <c r="B148" i="15" l="1"/>
  <c r="AH147" i="15"/>
  <c r="D148" i="15" s="1"/>
  <c r="AL147" i="15"/>
  <c r="AJ147" i="15"/>
  <c r="AK147" i="15"/>
  <c r="K143" i="4"/>
  <c r="AI142" i="4"/>
  <c r="AJ142" i="4" s="1"/>
  <c r="AD142" i="4"/>
  <c r="AE142" i="4" s="1"/>
  <c r="AF142" i="4"/>
  <c r="AG142" i="4"/>
  <c r="C143" i="4" s="1"/>
  <c r="O148" i="15"/>
  <c r="U148" i="15" l="1"/>
  <c r="V148" i="15" s="1"/>
  <c r="L148" i="15"/>
  <c r="M148" i="15" s="1"/>
  <c r="I148" i="15"/>
  <c r="AL143" i="4"/>
  <c r="B143" i="4"/>
  <c r="AH142" i="4"/>
  <c r="D143" i="4" s="1"/>
  <c r="AK143" i="4"/>
  <c r="O144" i="4"/>
  <c r="E148" i="15"/>
  <c r="F148" i="15" l="1"/>
  <c r="P148" i="15"/>
  <c r="N148" i="15"/>
  <c r="Y148" i="15"/>
  <c r="W148" i="15"/>
  <c r="X148" i="15" s="1"/>
  <c r="I143" i="4"/>
  <c r="L143" i="4"/>
  <c r="U143" i="4" s="1"/>
  <c r="V143" i="4" s="1"/>
  <c r="R148" i="15"/>
  <c r="E143" i="4"/>
  <c r="Z148" i="15"/>
  <c r="Q148" i="15" l="1"/>
  <c r="S148" i="15" s="1"/>
  <c r="T148" i="15" s="1"/>
  <c r="AA148" i="15"/>
  <c r="AB148" i="15" s="1"/>
  <c r="G148" i="15"/>
  <c r="M143" i="4"/>
  <c r="N143" i="4" s="1"/>
  <c r="F143" i="4"/>
  <c r="W143" i="4"/>
  <c r="Y143" i="4"/>
  <c r="H149" i="15"/>
  <c r="Z143" i="4"/>
  <c r="AC148" i="15"/>
  <c r="P143" i="4" l="1"/>
  <c r="J149" i="15"/>
  <c r="AI148" i="15"/>
  <c r="AD148" i="15"/>
  <c r="AE148" i="15" s="1"/>
  <c r="AG148" i="15"/>
  <c r="C149" i="15" s="1"/>
  <c r="AF148" i="15"/>
  <c r="K149" i="15"/>
  <c r="X143" i="4"/>
  <c r="AA143" i="4" s="1"/>
  <c r="AB143" i="4" s="1"/>
  <c r="G143" i="4"/>
  <c r="Q143" i="4"/>
  <c r="R143" i="4"/>
  <c r="S143" i="4" l="1"/>
  <c r="T143" i="4" s="1"/>
  <c r="AL148" i="15"/>
  <c r="AJ148" i="15"/>
  <c r="AK148" i="15"/>
  <c r="AH148" i="15"/>
  <c r="D149" i="15" s="1"/>
  <c r="B149" i="15"/>
  <c r="H144" i="4"/>
  <c r="O149" i="15"/>
  <c r="AC143" i="4"/>
  <c r="AI143" i="4" l="1"/>
  <c r="AJ143" i="4" s="1"/>
  <c r="AF143" i="4"/>
  <c r="B144" i="4" s="1"/>
  <c r="AG143" i="4"/>
  <c r="C144" i="4" s="1"/>
  <c r="AD143" i="4"/>
  <c r="AE143" i="4" s="1"/>
  <c r="K144" i="4"/>
  <c r="U149" i="15"/>
  <c r="V149" i="15" s="1"/>
  <c r="L149" i="15"/>
  <c r="M149" i="15" s="1"/>
  <c r="I149" i="15"/>
  <c r="E149" i="15"/>
  <c r="O145" i="4"/>
  <c r="AK144" i="4" l="1"/>
  <c r="AL144" i="4"/>
  <c r="AH143" i="4"/>
  <c r="D144" i="4" s="1"/>
  <c r="L144" i="4" s="1"/>
  <c r="U144" i="4" s="1"/>
  <c r="V144" i="4" s="1"/>
  <c r="F149" i="15"/>
  <c r="P149" i="15"/>
  <c r="N149" i="15"/>
  <c r="W149" i="15"/>
  <c r="Y149" i="15"/>
  <c r="I144" i="4"/>
  <c r="R149" i="15"/>
  <c r="Z149" i="15"/>
  <c r="E144" i="4"/>
  <c r="X149" i="15" l="1"/>
  <c r="AA149" i="15" s="1"/>
  <c r="AB149" i="15" s="1"/>
  <c r="Q149" i="15"/>
  <c r="S149" i="15" s="1"/>
  <c r="G149" i="15"/>
  <c r="M144" i="4"/>
  <c r="P144" i="4" s="1"/>
  <c r="F144" i="4"/>
  <c r="Y144" i="4"/>
  <c r="W144" i="4"/>
  <c r="H150" i="15"/>
  <c r="R144" i="4"/>
  <c r="Z144" i="4"/>
  <c r="AC149" i="15"/>
  <c r="N144" i="4" l="1"/>
  <c r="Q144" i="4" s="1"/>
  <c r="S144" i="4" s="1"/>
  <c r="J150" i="15"/>
  <c r="AI149" i="15"/>
  <c r="AG149" i="15"/>
  <c r="C150" i="15" s="1"/>
  <c r="AD149" i="15"/>
  <c r="AE149" i="15" s="1"/>
  <c r="AF149" i="15"/>
  <c r="T149" i="15"/>
  <c r="K150" i="15"/>
  <c r="X144" i="4"/>
  <c r="AA144" i="4" s="1"/>
  <c r="AB144" i="4" s="1"/>
  <c r="H145" i="4"/>
  <c r="AC144" i="4"/>
  <c r="G144" i="4" l="1"/>
  <c r="AJ149" i="15"/>
  <c r="AL149" i="15"/>
  <c r="AK149" i="15"/>
  <c r="B150" i="15"/>
  <c r="AH149" i="15"/>
  <c r="D150" i="15" s="1"/>
  <c r="K145" i="4"/>
  <c r="AI144" i="4"/>
  <c r="AJ144" i="4" s="1"/>
  <c r="AG144" i="4"/>
  <c r="C145" i="4" s="1"/>
  <c r="AD144" i="4"/>
  <c r="AE144" i="4" s="1"/>
  <c r="AF144" i="4"/>
  <c r="T144" i="4"/>
  <c r="O150" i="15"/>
  <c r="I150" i="15" l="1"/>
  <c r="L150" i="15"/>
  <c r="M150" i="15" s="1"/>
  <c r="U150" i="15"/>
  <c r="V150" i="15" s="1"/>
  <c r="AK145" i="4"/>
  <c r="B145" i="4"/>
  <c r="AH144" i="4"/>
  <c r="D145" i="4" s="1"/>
  <c r="AL145" i="4"/>
  <c r="O146" i="4"/>
  <c r="E150" i="15"/>
  <c r="F150" i="15" l="1"/>
  <c r="Y150" i="15"/>
  <c r="W150" i="15"/>
  <c r="N150" i="15"/>
  <c r="P150" i="15"/>
  <c r="I145" i="4"/>
  <c r="L145" i="4"/>
  <c r="U145" i="4" s="1"/>
  <c r="V145" i="4" s="1"/>
  <c r="Z150" i="15"/>
  <c r="R150" i="15"/>
  <c r="E145" i="4"/>
  <c r="X150" i="15" l="1"/>
  <c r="AA150" i="15" s="1"/>
  <c r="AB150" i="15" s="1"/>
  <c r="Q150" i="15"/>
  <c r="S150" i="15" s="1"/>
  <c r="T150" i="15" s="1"/>
  <c r="G150" i="15"/>
  <c r="F145" i="4"/>
  <c r="W145" i="4"/>
  <c r="Y145" i="4"/>
  <c r="M145" i="4"/>
  <c r="H151" i="15"/>
  <c r="Z145" i="4"/>
  <c r="AC150" i="15"/>
  <c r="J151" i="15" l="1"/>
  <c r="AI150" i="15"/>
  <c r="AD150" i="15"/>
  <c r="AE150" i="15" s="1"/>
  <c r="AG150" i="15"/>
  <c r="C151" i="15" s="1"/>
  <c r="AF150" i="15"/>
  <c r="K151" i="15"/>
  <c r="X145" i="4"/>
  <c r="AA145" i="4" s="1"/>
  <c r="AB145" i="4" s="1"/>
  <c r="P145" i="4"/>
  <c r="N145" i="4"/>
  <c r="Q145" i="4" s="1"/>
  <c r="R145" i="4"/>
  <c r="AL150" i="15" l="1"/>
  <c r="AJ150" i="15"/>
  <c r="AK150" i="15"/>
  <c r="AH150" i="15"/>
  <c r="D151" i="15" s="1"/>
  <c r="B151" i="15"/>
  <c r="S145" i="4"/>
  <c r="G145" i="4"/>
  <c r="H146" i="4"/>
  <c r="AC145" i="4"/>
  <c r="O151" i="15"/>
  <c r="U151" i="15" l="1"/>
  <c r="V151" i="15" s="1"/>
  <c r="L151" i="15"/>
  <c r="M151" i="15" s="1"/>
  <c r="I151" i="15"/>
  <c r="K146" i="4"/>
  <c r="AI145" i="4"/>
  <c r="AJ145" i="4" s="1"/>
  <c r="AG145" i="4"/>
  <c r="C146" i="4" s="1"/>
  <c r="AD145" i="4"/>
  <c r="AE145" i="4" s="1"/>
  <c r="AF145" i="4"/>
  <c r="T145" i="4"/>
  <c r="E151" i="15"/>
  <c r="F151" i="15" l="1"/>
  <c r="P151" i="15"/>
  <c r="N151" i="15"/>
  <c r="Y151" i="15"/>
  <c r="W151" i="15"/>
  <c r="AH145" i="4"/>
  <c r="D146" i="4" s="1"/>
  <c r="L146" i="4" s="1"/>
  <c r="U146" i="4" s="1"/>
  <c r="V146" i="4" s="1"/>
  <c r="AK146" i="4"/>
  <c r="AL146" i="4"/>
  <c r="B146" i="4"/>
  <c r="R151" i="15"/>
  <c r="O147" i="4"/>
  <c r="Z151" i="15"/>
  <c r="X151" i="15" l="1"/>
  <c r="AA151" i="15" s="1"/>
  <c r="AB151" i="15" s="1"/>
  <c r="Q151" i="15"/>
  <c r="S151" i="15" s="1"/>
  <c r="G151" i="15"/>
  <c r="Y146" i="4"/>
  <c r="M146" i="4"/>
  <c r="N146" i="4" s="1"/>
  <c r="W146" i="4"/>
  <c r="I146" i="4"/>
  <c r="H152" i="15"/>
  <c r="E146" i="4"/>
  <c r="Z146" i="4"/>
  <c r="AC151" i="15"/>
  <c r="P146" i="4" l="1"/>
  <c r="J152" i="15"/>
  <c r="AG151" i="15"/>
  <c r="C152" i="15" s="1"/>
  <c r="AF151" i="15"/>
  <c r="AI151" i="15"/>
  <c r="AD151" i="15"/>
  <c r="AE151" i="15" s="1"/>
  <c r="K152" i="15"/>
  <c r="T151" i="15"/>
  <c r="F146" i="4"/>
  <c r="X146" i="4" s="1"/>
  <c r="AA146" i="4" s="1"/>
  <c r="AB146" i="4" s="1"/>
  <c r="Q146" i="4"/>
  <c r="R146" i="4"/>
  <c r="S146" i="4" l="1"/>
  <c r="AL151" i="15"/>
  <c r="AJ151" i="15"/>
  <c r="AK151" i="15"/>
  <c r="B152" i="15"/>
  <c r="AH151" i="15"/>
  <c r="D152" i="15" s="1"/>
  <c r="G146" i="4"/>
  <c r="H147" i="4"/>
  <c r="AC146" i="4"/>
  <c r="O152" i="15"/>
  <c r="AF146" i="4" l="1"/>
  <c r="B147" i="4" s="1"/>
  <c r="AI146" i="4"/>
  <c r="AJ146" i="4" s="1"/>
  <c r="AD146" i="4"/>
  <c r="AE146" i="4" s="1"/>
  <c r="AG146" i="4"/>
  <c r="C147" i="4" s="1"/>
  <c r="K147" i="4"/>
  <c r="T146" i="4"/>
  <c r="I152" i="15"/>
  <c r="U152" i="15"/>
  <c r="V152" i="15" s="1"/>
  <c r="L152" i="15"/>
  <c r="M152" i="15" s="1"/>
  <c r="O148" i="4"/>
  <c r="E152" i="15"/>
  <c r="AL147" i="4" l="1"/>
  <c r="AH146" i="4"/>
  <c r="D147" i="4" s="1"/>
  <c r="L147" i="4" s="1"/>
  <c r="U147" i="4" s="1"/>
  <c r="V147" i="4" s="1"/>
  <c r="AK147" i="4"/>
  <c r="F152" i="15"/>
  <c r="N152" i="15"/>
  <c r="P152" i="15"/>
  <c r="Y152" i="15"/>
  <c r="W152" i="15"/>
  <c r="I147" i="4"/>
  <c r="Z152" i="15"/>
  <c r="R152" i="15"/>
  <c r="E147" i="4"/>
  <c r="F147" i="4" l="1"/>
  <c r="X152" i="15"/>
  <c r="AA152" i="15" s="1"/>
  <c r="AB152" i="15" s="1"/>
  <c r="Q152" i="15"/>
  <c r="S152" i="15" s="1"/>
  <c r="G152" i="15"/>
  <c r="M147" i="4"/>
  <c r="Y147" i="4"/>
  <c r="W147" i="4"/>
  <c r="AC152" i="15"/>
  <c r="Z147" i="4"/>
  <c r="H153" i="15"/>
  <c r="X147" i="4" l="1"/>
  <c r="AA147" i="4" s="1"/>
  <c r="AB147" i="4" s="1"/>
  <c r="J153" i="15"/>
  <c r="AI152" i="15"/>
  <c r="AD152" i="15"/>
  <c r="AE152" i="15" s="1"/>
  <c r="AF152" i="15"/>
  <c r="AG152" i="15"/>
  <c r="C153" i="15" s="1"/>
  <c r="K153" i="15"/>
  <c r="T152" i="15"/>
  <c r="P147" i="4"/>
  <c r="N147" i="4"/>
  <c r="R147" i="4"/>
  <c r="AK152" i="15" l="1"/>
  <c r="AL152" i="15"/>
  <c r="AJ152" i="15"/>
  <c r="AH152" i="15"/>
  <c r="D153" i="15" s="1"/>
  <c r="B153" i="15"/>
  <c r="Q147" i="4"/>
  <c r="S147" i="4" s="1"/>
  <c r="G147" i="4"/>
  <c r="H148" i="4"/>
  <c r="AC147" i="4"/>
  <c r="O153" i="15"/>
  <c r="L153" i="15" l="1"/>
  <c r="M153" i="15" s="1"/>
  <c r="U153" i="15"/>
  <c r="V153" i="15" s="1"/>
  <c r="I153" i="15"/>
  <c r="K148" i="4"/>
  <c r="AD147" i="4"/>
  <c r="AE147" i="4" s="1"/>
  <c r="AI147" i="4"/>
  <c r="AJ147" i="4" s="1"/>
  <c r="AG147" i="4"/>
  <c r="C148" i="4" s="1"/>
  <c r="AF147" i="4"/>
  <c r="B148" i="4" s="1"/>
  <c r="T147" i="4"/>
  <c r="E153" i="15"/>
  <c r="O149" i="4"/>
  <c r="F153" i="15" l="1"/>
  <c r="W153" i="15"/>
  <c r="Y153" i="15"/>
  <c r="P153" i="15"/>
  <c r="N153" i="15"/>
  <c r="AH147" i="4"/>
  <c r="D148" i="4" s="1"/>
  <c r="AK148" i="4"/>
  <c r="I148" i="4"/>
  <c r="AL148" i="4"/>
  <c r="R153" i="15"/>
  <c r="E148" i="4"/>
  <c r="Z153" i="15"/>
  <c r="F148" i="4" l="1"/>
  <c r="X153" i="15"/>
  <c r="AA153" i="15" s="1"/>
  <c r="AB153" i="15" s="1"/>
  <c r="Q153" i="15"/>
  <c r="S153" i="15" s="1"/>
  <c r="G153" i="15"/>
  <c r="L148" i="4"/>
  <c r="U148" i="4" s="1"/>
  <c r="V148" i="4" s="1"/>
  <c r="H154" i="15"/>
  <c r="AC153" i="15"/>
  <c r="J154" i="15" l="1"/>
  <c r="AG153" i="15"/>
  <c r="C154" i="15" s="1"/>
  <c r="AF153" i="15"/>
  <c r="AI153" i="15"/>
  <c r="AD153" i="15"/>
  <c r="AE153" i="15" s="1"/>
  <c r="T153" i="15"/>
  <c r="K154" i="15"/>
  <c r="M148" i="4"/>
  <c r="Y148" i="4"/>
  <c r="W148" i="4"/>
  <c r="X148" i="4" s="1"/>
  <c r="Z148" i="4"/>
  <c r="AK153" i="15" l="1"/>
  <c r="AL153" i="15"/>
  <c r="AJ153" i="15"/>
  <c r="B154" i="15"/>
  <c r="AH153" i="15"/>
  <c r="D154" i="15" s="1"/>
  <c r="AA148" i="4"/>
  <c r="AB148" i="4" s="1"/>
  <c r="P148" i="4"/>
  <c r="N148" i="4"/>
  <c r="O154" i="15"/>
  <c r="R148" i="4"/>
  <c r="I154" i="15" l="1"/>
  <c r="U154" i="15"/>
  <c r="V154" i="15" s="1"/>
  <c r="L154" i="15"/>
  <c r="M154" i="15" s="1"/>
  <c r="Q148" i="4"/>
  <c r="S148" i="4" s="1"/>
  <c r="G148" i="4"/>
  <c r="H149" i="4"/>
  <c r="AC148" i="4"/>
  <c r="E154" i="15"/>
  <c r="F154" i="15" l="1"/>
  <c r="P154" i="15"/>
  <c r="N154" i="15"/>
  <c r="W154" i="15"/>
  <c r="Y154" i="15"/>
  <c r="K149" i="4"/>
  <c r="AD148" i="4"/>
  <c r="AE148" i="4" s="1"/>
  <c r="AI148" i="4"/>
  <c r="AJ148" i="4" s="1"/>
  <c r="AG148" i="4"/>
  <c r="C149" i="4" s="1"/>
  <c r="AF148" i="4"/>
  <c r="T148" i="4"/>
  <c r="R154" i="15"/>
  <c r="Z154" i="15"/>
  <c r="X154" i="15" l="1"/>
  <c r="AA154" i="15" s="1"/>
  <c r="AB154" i="15" s="1"/>
  <c r="Q154" i="15"/>
  <c r="S154" i="15" s="1"/>
  <c r="G154" i="15"/>
  <c r="AK149" i="4"/>
  <c r="B149" i="4"/>
  <c r="AH148" i="4"/>
  <c r="D149" i="4" s="1"/>
  <c r="AL149" i="4"/>
  <c r="AC154" i="15"/>
  <c r="O150" i="4"/>
  <c r="H155" i="15"/>
  <c r="J155" i="15" l="1"/>
  <c r="AI154" i="15"/>
  <c r="AD154" i="15"/>
  <c r="AE154" i="15" s="1"/>
  <c r="AG154" i="15"/>
  <c r="C155" i="15" s="1"/>
  <c r="AF154" i="15"/>
  <c r="T154" i="15"/>
  <c r="K155" i="15"/>
  <c r="L149" i="4"/>
  <c r="U149" i="4" s="1"/>
  <c r="V149" i="4" s="1"/>
  <c r="I149" i="4"/>
  <c r="E149" i="4"/>
  <c r="F149" i="4" l="1"/>
  <c r="AL154" i="15"/>
  <c r="AK154" i="15"/>
  <c r="AJ154" i="15"/>
  <c r="AH154" i="15"/>
  <c r="D155" i="15" s="1"/>
  <c r="B155" i="15"/>
  <c r="Y149" i="4"/>
  <c r="W149" i="4"/>
  <c r="M149" i="4"/>
  <c r="Z149" i="4"/>
  <c r="O155" i="15"/>
  <c r="X149" i="4" l="1"/>
  <c r="AA149" i="4" s="1"/>
  <c r="AB149" i="4" s="1"/>
  <c r="U155" i="15"/>
  <c r="V155" i="15" s="1"/>
  <c r="L155" i="15"/>
  <c r="M155" i="15" s="1"/>
  <c r="I155" i="15"/>
  <c r="N149" i="4"/>
  <c r="P149" i="4"/>
  <c r="R149" i="4"/>
  <c r="E155" i="15"/>
  <c r="F155" i="15" l="1"/>
  <c r="N155" i="15"/>
  <c r="P155" i="15"/>
  <c r="Y155" i="15"/>
  <c r="W155" i="15"/>
  <c r="Q149" i="4"/>
  <c r="S149" i="4" s="1"/>
  <c r="G149" i="4"/>
  <c r="Z155" i="15"/>
  <c r="H150" i="4"/>
  <c r="AC149" i="4"/>
  <c r="R155" i="15"/>
  <c r="X155" i="15" l="1"/>
  <c r="AA155" i="15" s="1"/>
  <c r="AB155" i="15" s="1"/>
  <c r="Q155" i="15"/>
  <c r="S155" i="15" s="1"/>
  <c r="G155" i="15"/>
  <c r="K150" i="4"/>
  <c r="AD149" i="4"/>
  <c r="AE149" i="4" s="1"/>
  <c r="AI149" i="4"/>
  <c r="AJ149" i="4" s="1"/>
  <c r="AG149" i="4"/>
  <c r="C150" i="4" s="1"/>
  <c r="AF149" i="4"/>
  <c r="T149" i="4"/>
  <c r="AC155" i="15"/>
  <c r="H156" i="15"/>
  <c r="J156" i="15" l="1"/>
  <c r="AI155" i="15"/>
  <c r="AD155" i="15"/>
  <c r="AE155" i="15" s="1"/>
  <c r="AG155" i="15"/>
  <c r="C156" i="15" s="1"/>
  <c r="AF155" i="15"/>
  <c r="T155" i="15"/>
  <c r="K156" i="15"/>
  <c r="AL150" i="4"/>
  <c r="AH149" i="4"/>
  <c r="D150" i="4" s="1"/>
  <c r="L150" i="4" s="1"/>
  <c r="U150" i="4" s="1"/>
  <c r="V150" i="4" s="1"/>
  <c r="AK150" i="4"/>
  <c r="B150" i="4"/>
  <c r="O151" i="4"/>
  <c r="AL155" i="15" l="1"/>
  <c r="AK155" i="15"/>
  <c r="AJ155" i="15"/>
  <c r="B156" i="15"/>
  <c r="AH155" i="15"/>
  <c r="D156" i="15" s="1"/>
  <c r="Y150" i="4"/>
  <c r="W150" i="4"/>
  <c r="M150" i="4"/>
  <c r="N150" i="4" s="1"/>
  <c r="I150" i="4"/>
  <c r="Z150" i="4"/>
  <c r="O156" i="15"/>
  <c r="E150" i="4"/>
  <c r="F150" i="4" l="1"/>
  <c r="X150" i="4" s="1"/>
  <c r="AA150" i="4" s="1"/>
  <c r="AB150" i="4" s="1"/>
  <c r="Q150" i="4"/>
  <c r="I156" i="15"/>
  <c r="L156" i="15"/>
  <c r="M156" i="15" s="1"/>
  <c r="U156" i="15"/>
  <c r="V156" i="15" s="1"/>
  <c r="P150" i="4"/>
  <c r="E156" i="15"/>
  <c r="R150" i="4"/>
  <c r="G150" i="4" l="1"/>
  <c r="F156" i="15"/>
  <c r="P156" i="15"/>
  <c r="N156" i="15"/>
  <c r="W156" i="15"/>
  <c r="Y156" i="15"/>
  <c r="S150" i="4"/>
  <c r="T150" i="4" s="1"/>
  <c r="R156" i="15"/>
  <c r="AC150" i="4"/>
  <c r="H151" i="4"/>
  <c r="Z156" i="15"/>
  <c r="X156" i="15" l="1"/>
  <c r="AA156" i="15" s="1"/>
  <c r="AB156" i="15" s="1"/>
  <c r="Q156" i="15"/>
  <c r="S156" i="15" s="1"/>
  <c r="G156" i="15"/>
  <c r="AI150" i="4"/>
  <c r="AJ150" i="4" s="1"/>
  <c r="AF150" i="4"/>
  <c r="B151" i="4" s="1"/>
  <c r="AG150" i="4"/>
  <c r="C151" i="4" s="1"/>
  <c r="AD150" i="4"/>
  <c r="AE150" i="4" s="1"/>
  <c r="K151" i="4"/>
  <c r="H157" i="15"/>
  <c r="AC156" i="15"/>
  <c r="O152" i="4"/>
  <c r="J157" i="15" l="1"/>
  <c r="AD156" i="15"/>
  <c r="AE156" i="15" s="1"/>
  <c r="AI156" i="15"/>
  <c r="AG156" i="15"/>
  <c r="C157" i="15" s="1"/>
  <c r="AF156" i="15"/>
  <c r="T156" i="15"/>
  <c r="K157" i="15"/>
  <c r="AH150" i="4"/>
  <c r="D151" i="4" s="1"/>
  <c r="L151" i="4" s="1"/>
  <c r="U151" i="4" s="1"/>
  <c r="V151" i="4" s="1"/>
  <c r="AL151" i="4"/>
  <c r="AK151" i="4"/>
  <c r="I151" i="4"/>
  <c r="E151" i="4"/>
  <c r="F151" i="4" l="1"/>
  <c r="AL156" i="15"/>
  <c r="AK156" i="15"/>
  <c r="AJ156" i="15"/>
  <c r="B157" i="15"/>
  <c r="AH156" i="15"/>
  <c r="D157" i="15" s="1"/>
  <c r="W151" i="4"/>
  <c r="Y151" i="4"/>
  <c r="M151" i="4"/>
  <c r="O157" i="15"/>
  <c r="Z151" i="4"/>
  <c r="X151" i="4" l="1"/>
  <c r="AA151" i="4" s="1"/>
  <c r="AB151" i="4" s="1"/>
  <c r="I157" i="15"/>
  <c r="U157" i="15"/>
  <c r="V157" i="15" s="1"/>
  <c r="L157" i="15"/>
  <c r="M157" i="15" s="1"/>
  <c r="N151" i="4"/>
  <c r="P151" i="4"/>
  <c r="E157" i="15"/>
  <c r="R151" i="4"/>
  <c r="F157" i="15" l="1"/>
  <c r="Y157" i="15"/>
  <c r="W157" i="15"/>
  <c r="N157" i="15"/>
  <c r="P157" i="15"/>
  <c r="G151" i="4"/>
  <c r="Q151" i="4"/>
  <c r="S151" i="4" s="1"/>
  <c r="AC151" i="4"/>
  <c r="R157" i="15"/>
  <c r="H152" i="4"/>
  <c r="Z157" i="15"/>
  <c r="X157" i="15" l="1"/>
  <c r="AA157" i="15" s="1"/>
  <c r="AB157" i="15" s="1"/>
  <c r="Q157" i="15"/>
  <c r="S157" i="15" s="1"/>
  <c r="T157" i="15" s="1"/>
  <c r="G157" i="15"/>
  <c r="K152" i="4"/>
  <c r="AD151" i="4"/>
  <c r="AE151" i="4" s="1"/>
  <c r="AI151" i="4"/>
  <c r="AJ151" i="4" s="1"/>
  <c r="AG151" i="4"/>
  <c r="C152" i="4" s="1"/>
  <c r="AF151" i="4"/>
  <c r="T151" i="4"/>
  <c r="H158" i="15"/>
  <c r="AC157" i="15"/>
  <c r="J158" i="15" l="1"/>
  <c r="AD157" i="15"/>
  <c r="AE157" i="15" s="1"/>
  <c r="AG157" i="15"/>
  <c r="C158" i="15" s="1"/>
  <c r="AF157" i="15"/>
  <c r="AI157" i="15"/>
  <c r="K158" i="15"/>
  <c r="B152" i="4"/>
  <c r="AH151" i="4"/>
  <c r="D152" i="4" s="1"/>
  <c r="AK152" i="4"/>
  <c r="AL152" i="4"/>
  <c r="O153" i="4"/>
  <c r="AH157" i="15" l="1"/>
  <c r="D158" i="15" s="1"/>
  <c r="B158" i="15"/>
  <c r="AJ157" i="15"/>
  <c r="AK157" i="15"/>
  <c r="AL157" i="15"/>
  <c r="L152" i="4"/>
  <c r="U152" i="4" s="1"/>
  <c r="V152" i="4" s="1"/>
  <c r="I152" i="4"/>
  <c r="E152" i="4"/>
  <c r="O158" i="15"/>
  <c r="F152" i="4" l="1"/>
  <c r="I158" i="15"/>
  <c r="U158" i="15"/>
  <c r="V158" i="15" s="1"/>
  <c r="L158" i="15"/>
  <c r="M158" i="15" s="1"/>
  <c r="Y152" i="4"/>
  <c r="W152" i="4"/>
  <c r="M152" i="4"/>
  <c r="Z152" i="4"/>
  <c r="E158" i="15"/>
  <c r="X152" i="4" l="1"/>
  <c r="AA152" i="4" s="1"/>
  <c r="AB152" i="4" s="1"/>
  <c r="F158" i="15"/>
  <c r="N158" i="15"/>
  <c r="P158" i="15"/>
  <c r="W158" i="15"/>
  <c r="Y158" i="15"/>
  <c r="P152" i="4"/>
  <c r="N152" i="4"/>
  <c r="Z158" i="15"/>
  <c r="R158" i="15"/>
  <c r="R152" i="4"/>
  <c r="X158" i="15" l="1"/>
  <c r="AA158" i="15" s="1"/>
  <c r="AB158" i="15" s="1"/>
  <c r="Q158" i="15"/>
  <c r="S158" i="15" s="1"/>
  <c r="G158" i="15"/>
  <c r="Q152" i="4"/>
  <c r="S152" i="4" s="1"/>
  <c r="G152" i="4"/>
  <c r="H153" i="4"/>
  <c r="AC152" i="4"/>
  <c r="H159" i="15"/>
  <c r="AC158" i="15"/>
  <c r="J159" i="15" l="1"/>
  <c r="AF158" i="15"/>
  <c r="AD158" i="15"/>
  <c r="AE158" i="15" s="1"/>
  <c r="AG158" i="15"/>
  <c r="C159" i="15" s="1"/>
  <c r="AI158" i="15"/>
  <c r="T158" i="15"/>
  <c r="K159" i="15"/>
  <c r="K153" i="4"/>
  <c r="AD152" i="4"/>
  <c r="AE152" i="4" s="1"/>
  <c r="AI152" i="4"/>
  <c r="AJ152" i="4" s="1"/>
  <c r="AG152" i="4"/>
  <c r="C153" i="4" s="1"/>
  <c r="AF152" i="4"/>
  <c r="T152" i="4"/>
  <c r="B159" i="15" l="1"/>
  <c r="AH158" i="15"/>
  <c r="D159" i="15" s="1"/>
  <c r="AL158" i="15"/>
  <c r="AK158" i="15"/>
  <c r="AJ158" i="15"/>
  <c r="AK153" i="4"/>
  <c r="AH152" i="4"/>
  <c r="D153" i="4" s="1"/>
  <c r="B153" i="4"/>
  <c r="AL153" i="4"/>
  <c r="O159" i="15"/>
  <c r="O154" i="4"/>
  <c r="L159" i="15" l="1"/>
  <c r="M159" i="15" s="1"/>
  <c r="U159" i="15"/>
  <c r="V159" i="15" s="1"/>
  <c r="I159" i="15"/>
  <c r="L153" i="4"/>
  <c r="U153" i="4" s="1"/>
  <c r="V153" i="4" s="1"/>
  <c r="I153" i="4"/>
  <c r="E159" i="15"/>
  <c r="E153" i="4"/>
  <c r="F153" i="4" l="1"/>
  <c r="M153" i="4"/>
  <c r="N153" i="4" s="1"/>
  <c r="F159" i="15"/>
  <c r="Y159" i="15"/>
  <c r="W159" i="15"/>
  <c r="P159" i="15"/>
  <c r="N159" i="15"/>
  <c r="Y153" i="4"/>
  <c r="W153" i="4"/>
  <c r="R159" i="15"/>
  <c r="Z153" i="4"/>
  <c r="Z159" i="15"/>
  <c r="X153" i="4" l="1"/>
  <c r="AA153" i="4" s="1"/>
  <c r="AB153" i="4" s="1"/>
  <c r="P153" i="4"/>
  <c r="X159" i="15"/>
  <c r="AA159" i="15" s="1"/>
  <c r="AB159" i="15" s="1"/>
  <c r="Q159" i="15"/>
  <c r="S159" i="15" s="1"/>
  <c r="G159" i="15"/>
  <c r="Q153" i="4"/>
  <c r="G153" i="4"/>
  <c r="AC159" i="15"/>
  <c r="R153" i="4"/>
  <c r="H160" i="15"/>
  <c r="S153" i="4" l="1"/>
  <c r="J160" i="15"/>
  <c r="AG159" i="15"/>
  <c r="C160" i="15" s="1"/>
  <c r="AI159" i="15"/>
  <c r="AD159" i="15"/>
  <c r="AE159" i="15" s="1"/>
  <c r="AF159" i="15"/>
  <c r="T159" i="15"/>
  <c r="K160" i="15"/>
  <c r="H154" i="4"/>
  <c r="AC153" i="4"/>
  <c r="AD153" i="4" l="1"/>
  <c r="AE153" i="4" s="1"/>
  <c r="AF153" i="4"/>
  <c r="B154" i="4" s="1"/>
  <c r="AG153" i="4"/>
  <c r="C154" i="4" s="1"/>
  <c r="AI153" i="4"/>
  <c r="AJ153" i="4" s="1"/>
  <c r="K154" i="4"/>
  <c r="T153" i="4"/>
  <c r="AL159" i="15"/>
  <c r="AJ159" i="15"/>
  <c r="AK159" i="15"/>
  <c r="B160" i="15"/>
  <c r="AH159" i="15"/>
  <c r="D160" i="15" s="1"/>
  <c r="O160" i="15"/>
  <c r="O155" i="4"/>
  <c r="AL154" i="4" l="1"/>
  <c r="AH153" i="4"/>
  <c r="D154" i="4" s="1"/>
  <c r="L154" i="4" s="1"/>
  <c r="U154" i="4" s="1"/>
  <c r="V154" i="4" s="1"/>
  <c r="AK154" i="4"/>
  <c r="I160" i="15"/>
  <c r="U160" i="15"/>
  <c r="V160" i="15" s="1"/>
  <c r="L160" i="15"/>
  <c r="M160" i="15" s="1"/>
  <c r="I154" i="4"/>
  <c r="E154" i="4"/>
  <c r="E160" i="15"/>
  <c r="F154" i="4" l="1"/>
  <c r="F160" i="15"/>
  <c r="P160" i="15"/>
  <c r="N160" i="15"/>
  <c r="Y160" i="15"/>
  <c r="W160" i="15"/>
  <c r="Y154" i="4"/>
  <c r="W154" i="4"/>
  <c r="M154" i="4"/>
  <c r="R160" i="15"/>
  <c r="Z160" i="15"/>
  <c r="Z154" i="4"/>
  <c r="X154" i="4" l="1"/>
  <c r="AA154" i="4" s="1"/>
  <c r="AB154" i="4" s="1"/>
  <c r="X160" i="15"/>
  <c r="AA160" i="15" s="1"/>
  <c r="AB160" i="15" s="1"/>
  <c r="Q160" i="15"/>
  <c r="S160" i="15" s="1"/>
  <c r="G160" i="15"/>
  <c r="P154" i="4"/>
  <c r="N154" i="4"/>
  <c r="R154" i="4"/>
  <c r="AC160" i="15"/>
  <c r="H161" i="15"/>
  <c r="J161" i="15" l="1"/>
  <c r="AD160" i="15"/>
  <c r="AE160" i="15" s="1"/>
  <c r="AG160" i="15"/>
  <c r="C161" i="15" s="1"/>
  <c r="AF160" i="15"/>
  <c r="AI160" i="15"/>
  <c r="T160" i="15"/>
  <c r="K161" i="15"/>
  <c r="Q154" i="4"/>
  <c r="S154" i="4" s="1"/>
  <c r="G154" i="4"/>
  <c r="H155" i="4"/>
  <c r="AC154" i="4"/>
  <c r="AH160" i="15" l="1"/>
  <c r="D161" i="15" s="1"/>
  <c r="B161" i="15"/>
  <c r="AK160" i="15"/>
  <c r="AJ160" i="15"/>
  <c r="AL160" i="15"/>
  <c r="K155" i="4"/>
  <c r="AG154" i="4"/>
  <c r="C155" i="4" s="1"/>
  <c r="AD154" i="4"/>
  <c r="AE154" i="4" s="1"/>
  <c r="AI154" i="4"/>
  <c r="AJ154" i="4" s="1"/>
  <c r="AF154" i="4"/>
  <c r="T154" i="4"/>
  <c r="O161" i="15"/>
  <c r="I161" i="15" l="1"/>
  <c r="U161" i="15"/>
  <c r="V161" i="15" s="1"/>
  <c r="L161" i="15"/>
  <c r="M161" i="15" s="1"/>
  <c r="AL155" i="4"/>
  <c r="AH154" i="4"/>
  <c r="D155" i="4" s="1"/>
  <c r="B155" i="4"/>
  <c r="AK155" i="4"/>
  <c r="O156" i="4"/>
  <c r="E161" i="15"/>
  <c r="F161" i="15" l="1"/>
  <c r="Y161" i="15"/>
  <c r="W161" i="15"/>
  <c r="N161" i="15"/>
  <c r="Q161" i="15" s="1"/>
  <c r="P161" i="15"/>
  <c r="I155" i="4"/>
  <c r="L155" i="4"/>
  <c r="U155" i="4" s="1"/>
  <c r="V155" i="4" s="1"/>
  <c r="Z161" i="15"/>
  <c r="R161" i="15"/>
  <c r="E155" i="4"/>
  <c r="F155" i="4" l="1"/>
  <c r="X161" i="15"/>
  <c r="AA161" i="15" s="1"/>
  <c r="AB161" i="15" s="1"/>
  <c r="S161" i="15"/>
  <c r="G161" i="15"/>
  <c r="M155" i="4"/>
  <c r="W155" i="4"/>
  <c r="Y155" i="4"/>
  <c r="H162" i="15"/>
  <c r="AC161" i="15"/>
  <c r="Z155" i="4"/>
  <c r="X155" i="4" l="1"/>
  <c r="AA155" i="4" s="1"/>
  <c r="AB155" i="4" s="1"/>
  <c r="J162" i="15"/>
  <c r="AF161" i="15"/>
  <c r="AI161" i="15"/>
  <c r="AD161" i="15"/>
  <c r="AE161" i="15" s="1"/>
  <c r="AG161" i="15"/>
  <c r="C162" i="15" s="1"/>
  <c r="T161" i="15"/>
  <c r="K162" i="15"/>
  <c r="P155" i="4"/>
  <c r="N155" i="4"/>
  <c r="R155" i="4"/>
  <c r="AL161" i="15" l="1"/>
  <c r="AJ161" i="15"/>
  <c r="AK161" i="15"/>
  <c r="AH161" i="15"/>
  <c r="D162" i="15" s="1"/>
  <c r="B162" i="15"/>
  <c r="Q155" i="4"/>
  <c r="S155" i="4" s="1"/>
  <c r="G155" i="4"/>
  <c r="H156" i="4"/>
  <c r="AC155" i="4"/>
  <c r="O162" i="15"/>
  <c r="L162" i="15" l="1"/>
  <c r="M162" i="15" s="1"/>
  <c r="U162" i="15"/>
  <c r="V162" i="15" s="1"/>
  <c r="I162" i="15"/>
  <c r="K156" i="4"/>
  <c r="AD155" i="4"/>
  <c r="AE155" i="4" s="1"/>
  <c r="AI155" i="4"/>
  <c r="AJ155" i="4" s="1"/>
  <c r="AG155" i="4"/>
  <c r="C156" i="4" s="1"/>
  <c r="AF155" i="4"/>
  <c r="T155" i="4"/>
  <c r="E162" i="15"/>
  <c r="F162" i="15" l="1"/>
  <c r="Y162" i="15"/>
  <c r="W162" i="15"/>
  <c r="N162" i="15"/>
  <c r="P162" i="15"/>
  <c r="AK156" i="4"/>
  <c r="AL156" i="4"/>
  <c r="AH155" i="4"/>
  <c r="D156" i="4" s="1"/>
  <c r="B156" i="4"/>
  <c r="R162" i="15"/>
  <c r="Z162" i="15"/>
  <c r="O157" i="4"/>
  <c r="X162" i="15" l="1"/>
  <c r="AA162" i="15" s="1"/>
  <c r="AB162" i="15" s="1"/>
  <c r="Q162" i="15"/>
  <c r="S162" i="15" s="1"/>
  <c r="G162" i="15"/>
  <c r="I156" i="4"/>
  <c r="L156" i="4"/>
  <c r="U156" i="4" s="1"/>
  <c r="V156" i="4" s="1"/>
  <c r="E156" i="4"/>
  <c r="H163" i="15"/>
  <c r="AC162" i="15"/>
  <c r="F156" i="4" l="1"/>
  <c r="J163" i="15"/>
  <c r="AG162" i="15"/>
  <c r="C163" i="15" s="1"/>
  <c r="AF162" i="15"/>
  <c r="AI162" i="15"/>
  <c r="AD162" i="15"/>
  <c r="AE162" i="15" s="1"/>
  <c r="K163" i="15"/>
  <c r="T162" i="15"/>
  <c r="M156" i="4"/>
  <c r="N156" i="4" s="1"/>
  <c r="W156" i="4"/>
  <c r="Y156" i="4"/>
  <c r="Z156" i="4"/>
  <c r="X156" i="4" l="1"/>
  <c r="AA156" i="4" s="1"/>
  <c r="AB156" i="4" s="1"/>
  <c r="AL162" i="15"/>
  <c r="AK162" i="15"/>
  <c r="AJ162" i="15"/>
  <c r="AH162" i="15"/>
  <c r="D163" i="15" s="1"/>
  <c r="B163" i="15"/>
  <c r="P156" i="4"/>
  <c r="Q156" i="4"/>
  <c r="G156" i="4"/>
  <c r="O163" i="15"/>
  <c r="R156" i="4"/>
  <c r="U163" i="15" l="1"/>
  <c r="V163" i="15" s="1"/>
  <c r="L163" i="15"/>
  <c r="M163" i="15" s="1"/>
  <c r="I163" i="15"/>
  <c r="S156" i="4"/>
  <c r="E163" i="15"/>
  <c r="H157" i="4"/>
  <c r="AC156" i="4"/>
  <c r="F163" i="15" l="1"/>
  <c r="N163" i="15"/>
  <c r="P163" i="15"/>
  <c r="Y163" i="15"/>
  <c r="W163" i="15"/>
  <c r="X163" i="15" s="1"/>
  <c r="K157" i="4"/>
  <c r="AI156" i="4"/>
  <c r="AJ156" i="4" s="1"/>
  <c r="AF156" i="4"/>
  <c r="B157" i="4" s="1"/>
  <c r="AG156" i="4"/>
  <c r="C157" i="4" s="1"/>
  <c r="AD156" i="4"/>
  <c r="AE156" i="4" s="1"/>
  <c r="T156" i="4"/>
  <c r="Z163" i="15"/>
  <c r="O158" i="4"/>
  <c r="R163" i="15"/>
  <c r="Q163" i="15" l="1"/>
  <c r="S163" i="15" s="1"/>
  <c r="AA163" i="15"/>
  <c r="AB163" i="15" s="1"/>
  <c r="G163" i="15"/>
  <c r="AK157" i="4"/>
  <c r="AL157" i="4"/>
  <c r="AH156" i="4"/>
  <c r="D157" i="4" s="1"/>
  <c r="L157" i="4" s="1"/>
  <c r="U157" i="4" s="1"/>
  <c r="V157" i="4" s="1"/>
  <c r="I157" i="4"/>
  <c r="H164" i="15"/>
  <c r="E157" i="4"/>
  <c r="AC163" i="15"/>
  <c r="F157" i="4" l="1"/>
  <c r="J164" i="15"/>
  <c r="AI163" i="15"/>
  <c r="AG163" i="15"/>
  <c r="C164" i="15" s="1"/>
  <c r="AD163" i="15"/>
  <c r="AE163" i="15" s="1"/>
  <c r="AF163" i="15"/>
  <c r="T163" i="15"/>
  <c r="K164" i="15"/>
  <c r="W157" i="4"/>
  <c r="Y157" i="4"/>
  <c r="M157" i="4"/>
  <c r="Z157" i="4"/>
  <c r="X157" i="4" l="1"/>
  <c r="AA157" i="4" s="1"/>
  <c r="AB157" i="4" s="1"/>
  <c r="AL163" i="15"/>
  <c r="AJ163" i="15"/>
  <c r="AK163" i="15"/>
  <c r="AH163" i="15"/>
  <c r="D164" i="15" s="1"/>
  <c r="B164" i="15"/>
  <c r="N157" i="4"/>
  <c r="P157" i="4"/>
  <c r="O164" i="15"/>
  <c r="R157" i="4"/>
  <c r="L164" i="15" l="1"/>
  <c r="M164" i="15" s="1"/>
  <c r="U164" i="15"/>
  <c r="V164" i="15" s="1"/>
  <c r="I164" i="15"/>
  <c r="Q157" i="4"/>
  <c r="S157" i="4" s="1"/>
  <c r="G157" i="4"/>
  <c r="AC157" i="4"/>
  <c r="H158" i="4"/>
  <c r="E164" i="15"/>
  <c r="F164" i="15" l="1"/>
  <c r="W164" i="15"/>
  <c r="Y164" i="15"/>
  <c r="P164" i="15"/>
  <c r="N164" i="15"/>
  <c r="K158" i="4"/>
  <c r="AD157" i="4"/>
  <c r="AE157" i="4" s="1"/>
  <c r="AI157" i="4"/>
  <c r="AJ157" i="4" s="1"/>
  <c r="AG157" i="4"/>
  <c r="C158" i="4" s="1"/>
  <c r="AF157" i="4"/>
  <c r="T157" i="4"/>
  <c r="R164" i="15"/>
  <c r="Z164" i="15"/>
  <c r="X164" i="15" l="1"/>
  <c r="AA164" i="15" s="1"/>
  <c r="AB164" i="15" s="1"/>
  <c r="Q164" i="15"/>
  <c r="S164" i="15" s="1"/>
  <c r="G164" i="15"/>
  <c r="B158" i="4"/>
  <c r="AH157" i="4"/>
  <c r="D158" i="4" s="1"/>
  <c r="AK158" i="4"/>
  <c r="AL158" i="4"/>
  <c r="AC164" i="15"/>
  <c r="H165" i="15"/>
  <c r="O159" i="4"/>
  <c r="J165" i="15" l="1"/>
  <c r="AI164" i="15"/>
  <c r="AG164" i="15"/>
  <c r="C165" i="15" s="1"/>
  <c r="AF164" i="15"/>
  <c r="AD164" i="15"/>
  <c r="AE164" i="15" s="1"/>
  <c r="T164" i="15"/>
  <c r="K165" i="15"/>
  <c r="I158" i="4"/>
  <c r="L158" i="4"/>
  <c r="U158" i="4" s="1"/>
  <c r="V158" i="4" s="1"/>
  <c r="E158" i="4"/>
  <c r="F158" i="4" l="1"/>
  <c r="AH164" i="15"/>
  <c r="D165" i="15" s="1"/>
  <c r="B165" i="15"/>
  <c r="AL164" i="15"/>
  <c r="AJ164" i="15"/>
  <c r="AK164" i="15"/>
  <c r="W158" i="4"/>
  <c r="Y158" i="4"/>
  <c r="M158" i="4"/>
  <c r="O165" i="15"/>
  <c r="Z158" i="4"/>
  <c r="X158" i="4" l="1"/>
  <c r="AA158" i="4" s="1"/>
  <c r="AB158" i="4" s="1"/>
  <c r="I165" i="15"/>
  <c r="L165" i="15"/>
  <c r="M165" i="15" s="1"/>
  <c r="U165" i="15"/>
  <c r="V165" i="15" s="1"/>
  <c r="P158" i="4"/>
  <c r="N158" i="4"/>
  <c r="Q158" i="4" s="1"/>
  <c r="R158" i="4"/>
  <c r="E165" i="15"/>
  <c r="F165" i="15" l="1"/>
  <c r="Y165" i="15"/>
  <c r="W165" i="15"/>
  <c r="N165" i="15"/>
  <c r="P165" i="15"/>
  <c r="S158" i="4"/>
  <c r="G158" i="4"/>
  <c r="Z165" i="15"/>
  <c r="AC158" i="4"/>
  <c r="R165" i="15"/>
  <c r="H159" i="4"/>
  <c r="X165" i="15" l="1"/>
  <c r="AA165" i="15" s="1"/>
  <c r="AB165" i="15" s="1"/>
  <c r="Q165" i="15"/>
  <c r="S165" i="15" s="1"/>
  <c r="G165" i="15"/>
  <c r="K159" i="4"/>
  <c r="AI158" i="4"/>
  <c r="AJ158" i="4" s="1"/>
  <c r="AD158" i="4"/>
  <c r="AE158" i="4" s="1"/>
  <c r="AG158" i="4"/>
  <c r="C159" i="4" s="1"/>
  <c r="AF158" i="4"/>
  <c r="T158" i="4"/>
  <c r="H166" i="15"/>
  <c r="AC165" i="15"/>
  <c r="J166" i="15" l="1"/>
  <c r="AI165" i="15"/>
  <c r="AD165" i="15"/>
  <c r="AE165" i="15" s="1"/>
  <c r="AG165" i="15"/>
  <c r="C166" i="15" s="1"/>
  <c r="AF165" i="15"/>
  <c r="T165" i="15"/>
  <c r="K166" i="15"/>
  <c r="AL159" i="4"/>
  <c r="B159" i="4"/>
  <c r="AH158" i="4"/>
  <c r="D159" i="4" s="1"/>
  <c r="AK159" i="4"/>
  <c r="O160" i="4"/>
  <c r="AK165" i="15" l="1"/>
  <c r="AL165" i="15"/>
  <c r="AJ165" i="15"/>
  <c r="B166" i="15"/>
  <c r="AH165" i="15"/>
  <c r="D166" i="15" s="1"/>
  <c r="L159" i="4"/>
  <c r="U159" i="4" s="1"/>
  <c r="V159" i="4" s="1"/>
  <c r="I159" i="4"/>
  <c r="E159" i="4"/>
  <c r="O166" i="15"/>
  <c r="F159" i="4" l="1"/>
  <c r="I166" i="15"/>
  <c r="U166" i="15"/>
  <c r="V166" i="15" s="1"/>
  <c r="L166" i="15"/>
  <c r="M166" i="15" s="1"/>
  <c r="W159" i="4"/>
  <c r="Y159" i="4"/>
  <c r="M159" i="4"/>
  <c r="Z159" i="4"/>
  <c r="E166" i="15"/>
  <c r="X159" i="4" l="1"/>
  <c r="AA159" i="4" s="1"/>
  <c r="AB159" i="4" s="1"/>
  <c r="F166" i="15"/>
  <c r="N166" i="15"/>
  <c r="P166" i="15"/>
  <c r="Y166" i="15"/>
  <c r="W166" i="15"/>
  <c r="X166" i="15" s="1"/>
  <c r="P159" i="4"/>
  <c r="N159" i="4"/>
  <c r="R166" i="15"/>
  <c r="Z166" i="15"/>
  <c r="R159" i="4"/>
  <c r="G166" i="15" l="1"/>
  <c r="Q166" i="15"/>
  <c r="S166" i="15" s="1"/>
  <c r="AA166" i="15"/>
  <c r="AB166" i="15" s="1"/>
  <c r="G159" i="4"/>
  <c r="Q159" i="4"/>
  <c r="S159" i="4" s="1"/>
  <c r="AC159" i="4"/>
  <c r="H160" i="4"/>
  <c r="H167" i="15"/>
  <c r="AC166" i="15"/>
  <c r="J167" i="15" l="1"/>
  <c r="AF166" i="15"/>
  <c r="AG166" i="15"/>
  <c r="C167" i="15" s="1"/>
  <c r="AI166" i="15"/>
  <c r="AD166" i="15"/>
  <c r="AE166" i="15" s="1"/>
  <c r="T166" i="15"/>
  <c r="K167" i="15"/>
  <c r="K160" i="4"/>
  <c r="AI159" i="4"/>
  <c r="AJ159" i="4" s="1"/>
  <c r="AD159" i="4"/>
  <c r="AE159" i="4" s="1"/>
  <c r="AG159" i="4"/>
  <c r="C160" i="4" s="1"/>
  <c r="AF159" i="4"/>
  <c r="T159" i="4"/>
  <c r="AK166" i="15" l="1"/>
  <c r="AL166" i="15"/>
  <c r="AJ166" i="15"/>
  <c r="AH166" i="15"/>
  <c r="D167" i="15" s="1"/>
  <c r="B167" i="15"/>
  <c r="AL160" i="4"/>
  <c r="AK160" i="4"/>
  <c r="B160" i="4"/>
  <c r="AH159" i="4"/>
  <c r="D160" i="4" s="1"/>
  <c r="O167" i="15"/>
  <c r="O161" i="4"/>
  <c r="U167" i="15" l="1"/>
  <c r="V167" i="15" s="1"/>
  <c r="L167" i="15"/>
  <c r="M167" i="15" s="1"/>
  <c r="I167" i="15"/>
  <c r="I160" i="4"/>
  <c r="L160" i="4"/>
  <c r="U160" i="4" s="1"/>
  <c r="V160" i="4" s="1"/>
  <c r="E160" i="4"/>
  <c r="E167" i="15"/>
  <c r="F160" i="4" l="1"/>
  <c r="F167" i="15"/>
  <c r="N167" i="15"/>
  <c r="P167" i="15"/>
  <c r="W167" i="15"/>
  <c r="Y167" i="15"/>
  <c r="W160" i="4"/>
  <c r="Y160" i="4"/>
  <c r="M160" i="4"/>
  <c r="Z167" i="15"/>
  <c r="R167" i="15"/>
  <c r="Z160" i="4"/>
  <c r="X160" i="4" l="1"/>
  <c r="AA160" i="4" s="1"/>
  <c r="AB160" i="4" s="1"/>
  <c r="X167" i="15"/>
  <c r="AA167" i="15" s="1"/>
  <c r="AB167" i="15" s="1"/>
  <c r="Q167" i="15"/>
  <c r="S167" i="15" s="1"/>
  <c r="G167" i="15"/>
  <c r="P160" i="4"/>
  <c r="N160" i="4"/>
  <c r="Q160" i="4" s="1"/>
  <c r="R160" i="4"/>
  <c r="AC167" i="15"/>
  <c r="H168" i="15"/>
  <c r="J168" i="15" l="1"/>
  <c r="AF167" i="15"/>
  <c r="AI167" i="15"/>
  <c r="AG167" i="15"/>
  <c r="C168" i="15" s="1"/>
  <c r="AD167" i="15"/>
  <c r="AE167" i="15" s="1"/>
  <c r="T167" i="15"/>
  <c r="K168" i="15"/>
  <c r="S160" i="4"/>
  <c r="G160" i="4"/>
  <c r="H161" i="4"/>
  <c r="AC160" i="4"/>
  <c r="AK167" i="15" l="1"/>
  <c r="AJ167" i="15"/>
  <c r="AL167" i="15"/>
  <c r="B168" i="15"/>
  <c r="AH167" i="15"/>
  <c r="D168" i="15" s="1"/>
  <c r="K161" i="4"/>
  <c r="AI160" i="4"/>
  <c r="AJ160" i="4" s="1"/>
  <c r="AD160" i="4"/>
  <c r="AE160" i="4" s="1"/>
  <c r="AG160" i="4"/>
  <c r="C161" i="4" s="1"/>
  <c r="AF160" i="4"/>
  <c r="T160" i="4"/>
  <c r="O168" i="15"/>
  <c r="I168" i="15" l="1"/>
  <c r="U168" i="15"/>
  <c r="V168" i="15" s="1"/>
  <c r="L168" i="15"/>
  <c r="M168" i="15" s="1"/>
  <c r="AK161" i="4"/>
  <c r="AL161" i="4"/>
  <c r="B161" i="4"/>
  <c r="AH160" i="4"/>
  <c r="D161" i="4" s="1"/>
  <c r="O162" i="4"/>
  <c r="E168" i="15"/>
  <c r="F168" i="15" l="1"/>
  <c r="N168" i="15"/>
  <c r="P168" i="15"/>
  <c r="Y168" i="15"/>
  <c r="W168" i="15"/>
  <c r="X168" i="15" s="1"/>
  <c r="L161" i="4"/>
  <c r="U161" i="4" s="1"/>
  <c r="V161" i="4" s="1"/>
  <c r="I161" i="4"/>
  <c r="Z168" i="15"/>
  <c r="E161" i="4"/>
  <c r="R168" i="15"/>
  <c r="F161" i="4" l="1"/>
  <c r="Q168" i="15"/>
  <c r="S168" i="15" s="1"/>
  <c r="AA168" i="15"/>
  <c r="AB168" i="15" s="1"/>
  <c r="G168" i="15"/>
  <c r="Y161" i="4"/>
  <c r="W161" i="4"/>
  <c r="M161" i="4"/>
  <c r="H169" i="15"/>
  <c r="Z161" i="4"/>
  <c r="AC168" i="15"/>
  <c r="X161" i="4" l="1"/>
  <c r="AA161" i="4" s="1"/>
  <c r="AB161" i="4" s="1"/>
  <c r="J169" i="15"/>
  <c r="AI168" i="15"/>
  <c r="AD168" i="15"/>
  <c r="AE168" i="15" s="1"/>
  <c r="AG168" i="15"/>
  <c r="C169" i="15" s="1"/>
  <c r="AF168" i="15"/>
  <c r="K169" i="15"/>
  <c r="T168" i="15"/>
  <c r="N161" i="4"/>
  <c r="Q161" i="4" s="1"/>
  <c r="P161" i="4"/>
  <c r="R161" i="4"/>
  <c r="AK168" i="15" l="1"/>
  <c r="AJ168" i="15"/>
  <c r="AL168" i="15"/>
  <c r="AH168" i="15"/>
  <c r="D169" i="15" s="1"/>
  <c r="B169" i="15"/>
  <c r="G161" i="4"/>
  <c r="S161" i="4"/>
  <c r="T161" i="4" s="1"/>
  <c r="H162" i="4"/>
  <c r="AC161" i="4"/>
  <c r="O169" i="15"/>
  <c r="L169" i="15" l="1"/>
  <c r="M169" i="15" s="1"/>
  <c r="U169" i="15"/>
  <c r="V169" i="15" s="1"/>
  <c r="I169" i="15"/>
  <c r="K162" i="4"/>
  <c r="AG161" i="4"/>
  <c r="C162" i="4" s="1"/>
  <c r="AI161" i="4"/>
  <c r="AJ161" i="4" s="1"/>
  <c r="AD161" i="4"/>
  <c r="AE161" i="4" s="1"/>
  <c r="AF161" i="4"/>
  <c r="E169" i="15"/>
  <c r="F169" i="15" l="1"/>
  <c r="Y169" i="15"/>
  <c r="W169" i="15"/>
  <c r="N169" i="15"/>
  <c r="P169" i="15"/>
  <c r="AL162" i="4"/>
  <c r="AH161" i="4"/>
  <c r="D162" i="4" s="1"/>
  <c r="AK162" i="4"/>
  <c r="B162" i="4"/>
  <c r="Z169" i="15"/>
  <c r="R169" i="15"/>
  <c r="O163" i="4"/>
  <c r="X169" i="15" l="1"/>
  <c r="AA169" i="15" s="1"/>
  <c r="AB169" i="15" s="1"/>
  <c r="Q169" i="15"/>
  <c r="S169" i="15" s="1"/>
  <c r="G169" i="15"/>
  <c r="L162" i="4"/>
  <c r="U162" i="4" s="1"/>
  <c r="V162" i="4" s="1"/>
  <c r="Y162" i="4" s="1"/>
  <c r="I162" i="4"/>
  <c r="Z162" i="4"/>
  <c r="H170" i="15"/>
  <c r="E162" i="4"/>
  <c r="AC169" i="15"/>
  <c r="F162" i="4" l="1"/>
  <c r="M162" i="4"/>
  <c r="P162" i="4" s="1"/>
  <c r="J170" i="15"/>
  <c r="AG169" i="15"/>
  <c r="C170" i="15" s="1"/>
  <c r="AI169" i="15"/>
  <c r="AF169" i="15"/>
  <c r="AD169" i="15"/>
  <c r="AE169" i="15" s="1"/>
  <c r="K170" i="15"/>
  <c r="T169" i="15"/>
  <c r="W162" i="4"/>
  <c r="R162" i="4"/>
  <c r="X162" i="4" l="1"/>
  <c r="AA162" i="4" s="1"/>
  <c r="AB162" i="4" s="1"/>
  <c r="N162" i="4"/>
  <c r="G162" i="4" s="1"/>
  <c r="AH169" i="15"/>
  <c r="D170" i="15" s="1"/>
  <c r="B170" i="15"/>
  <c r="AJ169" i="15"/>
  <c r="AL169" i="15"/>
  <c r="AK169" i="15"/>
  <c r="O170" i="15"/>
  <c r="Q162" i="4" l="1"/>
  <c r="S162" i="4" s="1"/>
  <c r="I170" i="15"/>
  <c r="L170" i="15"/>
  <c r="M170" i="15" s="1"/>
  <c r="U170" i="15"/>
  <c r="V170" i="15" s="1"/>
  <c r="AC162" i="4"/>
  <c r="E170" i="15"/>
  <c r="H163" i="4"/>
  <c r="AG162" i="4" l="1"/>
  <c r="C163" i="4" s="1"/>
  <c r="AD162" i="4"/>
  <c r="AE162" i="4" s="1"/>
  <c r="AF162" i="4"/>
  <c r="B163" i="4" s="1"/>
  <c r="AI162" i="4"/>
  <c r="AJ162" i="4" s="1"/>
  <c r="K163" i="4"/>
  <c r="T162" i="4"/>
  <c r="F170" i="15"/>
  <c r="W170" i="15"/>
  <c r="Y170" i="15"/>
  <c r="N170" i="15"/>
  <c r="P170" i="15"/>
  <c r="Z170" i="15"/>
  <c r="R170" i="15"/>
  <c r="O164" i="4"/>
  <c r="AK163" i="4" l="1"/>
  <c r="I163" i="4"/>
  <c r="X170" i="15"/>
  <c r="AA170" i="15" s="1"/>
  <c r="AB170" i="15" s="1"/>
  <c r="AH162" i="4"/>
  <c r="D163" i="4" s="1"/>
  <c r="L163" i="4" s="1"/>
  <c r="U163" i="4" s="1"/>
  <c r="V163" i="4" s="1"/>
  <c r="AL163" i="4"/>
  <c r="Q170" i="15"/>
  <c r="S170" i="15" s="1"/>
  <c r="G170" i="15"/>
  <c r="H171" i="15"/>
  <c r="E163" i="4"/>
  <c r="AC170" i="15"/>
  <c r="F163" i="4" l="1"/>
  <c r="J171" i="15"/>
  <c r="AG170" i="15"/>
  <c r="C171" i="15" s="1"/>
  <c r="AI170" i="15"/>
  <c r="AD170" i="15"/>
  <c r="AE170" i="15" s="1"/>
  <c r="AF170" i="15"/>
  <c r="K171" i="15"/>
  <c r="T170" i="15"/>
  <c r="Y163" i="4"/>
  <c r="W163" i="4"/>
  <c r="M163" i="4"/>
  <c r="Z163" i="4"/>
  <c r="X163" i="4" l="1"/>
  <c r="AA163" i="4" s="1"/>
  <c r="AB163" i="4" s="1"/>
  <c r="AJ170" i="15"/>
  <c r="AK170" i="15"/>
  <c r="AL170" i="15"/>
  <c r="B171" i="15"/>
  <c r="AH170" i="15"/>
  <c r="D171" i="15" s="1"/>
  <c r="N163" i="4"/>
  <c r="Q163" i="4" s="1"/>
  <c r="P163" i="4"/>
  <c r="O171" i="15"/>
  <c r="R163" i="4"/>
  <c r="I171" i="15" l="1"/>
  <c r="U171" i="15"/>
  <c r="V171" i="15" s="1"/>
  <c r="L171" i="15"/>
  <c r="M171" i="15" s="1"/>
  <c r="G163" i="4"/>
  <c r="S163" i="4"/>
  <c r="T163" i="4" s="1"/>
  <c r="E171" i="15"/>
  <c r="AC163" i="4"/>
  <c r="H164" i="4"/>
  <c r="F171" i="15" l="1"/>
  <c r="W171" i="15"/>
  <c r="Y171" i="15"/>
  <c r="N171" i="15"/>
  <c r="P171" i="15"/>
  <c r="K164" i="4"/>
  <c r="AD163" i="4"/>
  <c r="AE163" i="4" s="1"/>
  <c r="AI163" i="4"/>
  <c r="AJ163" i="4" s="1"/>
  <c r="AF163" i="4"/>
  <c r="B164" i="4" s="1"/>
  <c r="AG163" i="4"/>
  <c r="C164" i="4" s="1"/>
  <c r="R171" i="15"/>
  <c r="Z171" i="15"/>
  <c r="O165" i="4"/>
  <c r="X171" i="15" l="1"/>
  <c r="AA171" i="15" s="1"/>
  <c r="AB171" i="15" s="1"/>
  <c r="Q171" i="15"/>
  <c r="S171" i="15" s="1"/>
  <c r="T171" i="15" s="1"/>
  <c r="G171" i="15"/>
  <c r="AL164" i="4"/>
  <c r="AK164" i="4"/>
  <c r="I164" i="4"/>
  <c r="AH163" i="4"/>
  <c r="D164" i="4" s="1"/>
  <c r="H172" i="15"/>
  <c r="E164" i="4"/>
  <c r="AC171" i="15"/>
  <c r="F164" i="4" l="1"/>
  <c r="J172" i="15"/>
  <c r="AD171" i="15"/>
  <c r="AE171" i="15" s="1"/>
  <c r="AF171" i="15"/>
  <c r="AG171" i="15"/>
  <c r="C172" i="15" s="1"/>
  <c r="AI171" i="15"/>
  <c r="K172" i="15"/>
  <c r="L164" i="4"/>
  <c r="U164" i="4" s="1"/>
  <c r="V164" i="4" s="1"/>
  <c r="B172" i="15" l="1"/>
  <c r="AH171" i="15"/>
  <c r="D172" i="15" s="1"/>
  <c r="AK171" i="15"/>
  <c r="AL171" i="15"/>
  <c r="AJ171" i="15"/>
  <c r="M164" i="4"/>
  <c r="P164" i="4" s="1"/>
  <c r="Y164" i="4"/>
  <c r="W164" i="4"/>
  <c r="X164" i="4" s="1"/>
  <c r="O172" i="15"/>
  <c r="Z164" i="4"/>
  <c r="R164" i="4"/>
  <c r="U172" i="15" l="1"/>
  <c r="V172" i="15" s="1"/>
  <c r="L172" i="15"/>
  <c r="M172" i="15" s="1"/>
  <c r="I172" i="15"/>
  <c r="N164" i="4"/>
  <c r="G164" i="4" s="1"/>
  <c r="AA164" i="4"/>
  <c r="AB164" i="4" s="1"/>
  <c r="E172" i="15"/>
  <c r="Q164" i="4" l="1"/>
  <c r="S164" i="4" s="1"/>
  <c r="T164" i="4" s="1"/>
  <c r="F172" i="15"/>
  <c r="P172" i="15"/>
  <c r="N172" i="15"/>
  <c r="Y172" i="15"/>
  <c r="W172" i="15"/>
  <c r="AC164" i="4"/>
  <c r="Z172" i="15"/>
  <c r="H165" i="4"/>
  <c r="R172" i="15"/>
  <c r="X172" i="15" l="1"/>
  <c r="AA172" i="15" s="1"/>
  <c r="AB172" i="15" s="1"/>
  <c r="AD164" i="4"/>
  <c r="AE164" i="4" s="1"/>
  <c r="AF164" i="4"/>
  <c r="B165" i="4" s="1"/>
  <c r="AG164" i="4"/>
  <c r="C165" i="4" s="1"/>
  <c r="AI164" i="4"/>
  <c r="AJ164" i="4" s="1"/>
  <c r="K165" i="4"/>
  <c r="Q172" i="15"/>
  <c r="S172" i="15" s="1"/>
  <c r="G172" i="15"/>
  <c r="AC172" i="15"/>
  <c r="O166" i="4"/>
  <c r="H173" i="15"/>
  <c r="AL165" i="4" l="1"/>
  <c r="AH164" i="4"/>
  <c r="D165" i="4" s="1"/>
  <c r="L165" i="4" s="1"/>
  <c r="U165" i="4" s="1"/>
  <c r="V165" i="4" s="1"/>
  <c r="W165" i="4" s="1"/>
  <c r="AK165" i="4"/>
  <c r="J173" i="15"/>
  <c r="AI172" i="15"/>
  <c r="AF172" i="15"/>
  <c r="AD172" i="15"/>
  <c r="AE172" i="15" s="1"/>
  <c r="AG172" i="15"/>
  <c r="C173" i="15" s="1"/>
  <c r="T172" i="15"/>
  <c r="K173" i="15"/>
  <c r="I165" i="4"/>
  <c r="E165" i="4"/>
  <c r="F165" i="4" l="1"/>
  <c r="X165" i="4" s="1"/>
  <c r="M165" i="4"/>
  <c r="P165" i="4" s="1"/>
  <c r="Y165" i="4"/>
  <c r="B173" i="15"/>
  <c r="AH172" i="15"/>
  <c r="D173" i="15" s="1"/>
  <c r="AJ172" i="15"/>
  <c r="AK172" i="15"/>
  <c r="AL172" i="15"/>
  <c r="O173" i="15"/>
  <c r="Z165" i="4"/>
  <c r="R165" i="4"/>
  <c r="N165" i="4" l="1"/>
  <c r="Q165" i="4" s="1"/>
  <c r="S165" i="4" s="1"/>
  <c r="T165" i="4" s="1"/>
  <c r="AA165" i="4"/>
  <c r="AB165" i="4" s="1"/>
  <c r="U173" i="15"/>
  <c r="V173" i="15" s="1"/>
  <c r="L173" i="15"/>
  <c r="M173" i="15" s="1"/>
  <c r="I173" i="15"/>
  <c r="H166" i="4"/>
  <c r="AC165" i="4"/>
  <c r="E173" i="15"/>
  <c r="G165" i="4" l="1"/>
  <c r="K166" i="4"/>
  <c r="AD165" i="4"/>
  <c r="AE165" i="4" s="1"/>
  <c r="AG165" i="4"/>
  <c r="C166" i="4" s="1"/>
  <c r="AI165" i="4"/>
  <c r="AJ165" i="4" s="1"/>
  <c r="AF165" i="4"/>
  <c r="B166" i="4" s="1"/>
  <c r="F173" i="15"/>
  <c r="P173" i="15"/>
  <c r="N173" i="15"/>
  <c r="W173" i="15"/>
  <c r="Y173" i="15"/>
  <c r="R173" i="15"/>
  <c r="Z173" i="15"/>
  <c r="O167" i="4"/>
  <c r="X173" i="15" l="1"/>
  <c r="AA173" i="15" s="1"/>
  <c r="AB173" i="15" s="1"/>
  <c r="AL166" i="4"/>
  <c r="AH165" i="4"/>
  <c r="D166" i="4" s="1"/>
  <c r="L166" i="4" s="1"/>
  <c r="U166" i="4" s="1"/>
  <c r="V166" i="4" s="1"/>
  <c r="AK166" i="4"/>
  <c r="Q173" i="15"/>
  <c r="S173" i="15" s="1"/>
  <c r="G173" i="15"/>
  <c r="I166" i="4"/>
  <c r="AC173" i="15"/>
  <c r="E166" i="4"/>
  <c r="H174" i="15"/>
  <c r="F166" i="4" l="1"/>
  <c r="M166" i="4"/>
  <c r="P166" i="4" s="1"/>
  <c r="J174" i="15"/>
  <c r="AG173" i="15"/>
  <c r="C174" i="15" s="1"/>
  <c r="AF173" i="15"/>
  <c r="AI173" i="15"/>
  <c r="AD173" i="15"/>
  <c r="AE173" i="15" s="1"/>
  <c r="T173" i="15"/>
  <c r="K174" i="15"/>
  <c r="W166" i="4"/>
  <c r="Y166" i="4"/>
  <c r="Z166" i="4"/>
  <c r="R166" i="4"/>
  <c r="X166" i="4" l="1"/>
  <c r="AA166" i="4" s="1"/>
  <c r="AB166" i="4" s="1"/>
  <c r="N166" i="4"/>
  <c r="Q166" i="4" s="1"/>
  <c r="S166" i="4" s="1"/>
  <c r="AH173" i="15"/>
  <c r="D174" i="15" s="1"/>
  <c r="B174" i="15"/>
  <c r="AK173" i="15"/>
  <c r="AL173" i="15"/>
  <c r="AJ173" i="15"/>
  <c r="AC166" i="4"/>
  <c r="H167" i="4"/>
  <c r="O174" i="15"/>
  <c r="G166" i="4" l="1"/>
  <c r="I174" i="15"/>
  <c r="U174" i="15"/>
  <c r="V174" i="15" s="1"/>
  <c r="L174" i="15"/>
  <c r="M174" i="15" s="1"/>
  <c r="K167" i="4"/>
  <c r="AD166" i="4"/>
  <c r="AE166" i="4" s="1"/>
  <c r="AI166" i="4"/>
  <c r="AJ166" i="4" s="1"/>
  <c r="AG166" i="4"/>
  <c r="C167" i="4" s="1"/>
  <c r="AF166" i="4"/>
  <c r="B167" i="4" s="1"/>
  <c r="T166" i="4"/>
  <c r="E174" i="15"/>
  <c r="O168" i="4"/>
  <c r="F174" i="15" l="1"/>
  <c r="P174" i="15"/>
  <c r="N174" i="15"/>
  <c r="W174" i="15"/>
  <c r="Y174" i="15"/>
  <c r="AH166" i="4"/>
  <c r="D167" i="4" s="1"/>
  <c r="I167" i="4"/>
  <c r="AL167" i="4"/>
  <c r="AK167" i="4"/>
  <c r="Z174" i="15"/>
  <c r="E167" i="4"/>
  <c r="R174" i="15"/>
  <c r="F167" i="4" l="1"/>
  <c r="X174" i="15"/>
  <c r="AA174" i="15" s="1"/>
  <c r="AB174" i="15" s="1"/>
  <c r="Q174" i="15"/>
  <c r="S174" i="15" s="1"/>
  <c r="G174" i="15"/>
  <c r="L167" i="4"/>
  <c r="U167" i="4" s="1"/>
  <c r="V167" i="4" s="1"/>
  <c r="H175" i="15"/>
  <c r="AC174" i="15"/>
  <c r="J175" i="15" l="1"/>
  <c r="AD174" i="15"/>
  <c r="AE174" i="15" s="1"/>
  <c r="AI174" i="15"/>
  <c r="AG174" i="15"/>
  <c r="C175" i="15" s="1"/>
  <c r="AF174" i="15"/>
  <c r="T174" i="15"/>
  <c r="K175" i="15"/>
  <c r="W167" i="4"/>
  <c r="X167" i="4" s="1"/>
  <c r="Y167" i="4"/>
  <c r="M167" i="4"/>
  <c r="Z167" i="4"/>
  <c r="AJ174" i="15" l="1"/>
  <c r="AK174" i="15"/>
  <c r="AL174" i="15"/>
  <c r="AH174" i="15"/>
  <c r="D175" i="15" s="1"/>
  <c r="B175" i="15"/>
  <c r="AA167" i="4"/>
  <c r="AB167" i="4" s="1"/>
  <c r="P167" i="4"/>
  <c r="N167" i="4"/>
  <c r="Q167" i="4" s="1"/>
  <c r="O175" i="15"/>
  <c r="R167" i="4"/>
  <c r="L175" i="15" l="1"/>
  <c r="M175" i="15" s="1"/>
  <c r="U175" i="15"/>
  <c r="V175" i="15" s="1"/>
  <c r="I175" i="15"/>
  <c r="G167" i="4"/>
  <c r="S167" i="4"/>
  <c r="H168" i="4"/>
  <c r="AC167" i="4"/>
  <c r="E175" i="15"/>
  <c r="F175" i="15" l="1"/>
  <c r="W175" i="15"/>
  <c r="Y175" i="15"/>
  <c r="P175" i="15"/>
  <c r="N175" i="15"/>
  <c r="K168" i="4"/>
  <c r="AD167" i="4"/>
  <c r="AE167" i="4" s="1"/>
  <c r="AI167" i="4"/>
  <c r="AJ167" i="4" s="1"/>
  <c r="AF167" i="4"/>
  <c r="AG167" i="4"/>
  <c r="C168" i="4" s="1"/>
  <c r="T167" i="4"/>
  <c r="Z175" i="15"/>
  <c r="R175" i="15"/>
  <c r="X175" i="15" l="1"/>
  <c r="AA175" i="15" s="1"/>
  <c r="AB175" i="15" s="1"/>
  <c r="Q175" i="15"/>
  <c r="S175" i="15" s="1"/>
  <c r="G175" i="15"/>
  <c r="B168" i="4"/>
  <c r="AH167" i="4"/>
  <c r="D168" i="4" s="1"/>
  <c r="AL168" i="4"/>
  <c r="AK168" i="4"/>
  <c r="H176" i="15"/>
  <c r="O169" i="4"/>
  <c r="AC175" i="15"/>
  <c r="J176" i="15" l="1"/>
  <c r="AI175" i="15"/>
  <c r="AG175" i="15"/>
  <c r="C176" i="15" s="1"/>
  <c r="AF175" i="15"/>
  <c r="AD175" i="15"/>
  <c r="AE175" i="15" s="1"/>
  <c r="T175" i="15"/>
  <c r="K176" i="15"/>
  <c r="I168" i="4"/>
  <c r="L168" i="4"/>
  <c r="U168" i="4" s="1"/>
  <c r="V168" i="4" s="1"/>
  <c r="E168" i="4"/>
  <c r="F168" i="4" l="1"/>
  <c r="AJ175" i="15"/>
  <c r="AK175" i="15"/>
  <c r="AL175" i="15"/>
  <c r="B176" i="15"/>
  <c r="AH175" i="15"/>
  <c r="D176" i="15" s="1"/>
  <c r="W168" i="4"/>
  <c r="Y168" i="4"/>
  <c r="M168" i="4"/>
  <c r="O176" i="15"/>
  <c r="Z168" i="4"/>
  <c r="X168" i="4" l="1"/>
  <c r="AA168" i="4" s="1"/>
  <c r="AB168" i="4" s="1"/>
  <c r="I176" i="15"/>
  <c r="U176" i="15"/>
  <c r="V176" i="15" s="1"/>
  <c r="L176" i="15"/>
  <c r="M176" i="15" s="1"/>
  <c r="P168" i="4"/>
  <c r="N168" i="4"/>
  <c r="Q168" i="4" s="1"/>
  <c r="E176" i="15"/>
  <c r="R168" i="4"/>
  <c r="F176" i="15" l="1"/>
  <c r="N176" i="15"/>
  <c r="P176" i="15"/>
  <c r="W176" i="15"/>
  <c r="Y176" i="15"/>
  <c r="G168" i="4"/>
  <c r="S168" i="4"/>
  <c r="Z176" i="15"/>
  <c r="H169" i="4"/>
  <c r="R176" i="15"/>
  <c r="AC168" i="4"/>
  <c r="X176" i="15" l="1"/>
  <c r="AA176" i="15" s="1"/>
  <c r="AB176" i="15" s="1"/>
  <c r="Q176" i="15"/>
  <c r="S176" i="15" s="1"/>
  <c r="G176" i="15"/>
  <c r="K169" i="4"/>
  <c r="AI168" i="4"/>
  <c r="AJ168" i="4" s="1"/>
  <c r="AD168" i="4"/>
  <c r="AE168" i="4" s="1"/>
  <c r="AG168" i="4"/>
  <c r="C169" i="4" s="1"/>
  <c r="AF168" i="4"/>
  <c r="T168" i="4"/>
  <c r="AC176" i="15"/>
  <c r="H177" i="15"/>
  <c r="J177" i="15" l="1"/>
  <c r="AI176" i="15"/>
  <c r="AG176" i="15"/>
  <c r="C177" i="15" s="1"/>
  <c r="AD176" i="15"/>
  <c r="AE176" i="15" s="1"/>
  <c r="AF176" i="15"/>
  <c r="K177" i="15"/>
  <c r="T176" i="15"/>
  <c r="AL169" i="4"/>
  <c r="B169" i="4"/>
  <c r="AH168" i="4"/>
  <c r="D169" i="4" s="1"/>
  <c r="AK169" i="4"/>
  <c r="O170" i="4"/>
  <c r="AJ176" i="15" l="1"/>
  <c r="AL176" i="15"/>
  <c r="AK176" i="15"/>
  <c r="AH176" i="15"/>
  <c r="D177" i="15" s="1"/>
  <c r="B177" i="15"/>
  <c r="L169" i="4"/>
  <c r="U169" i="4" s="1"/>
  <c r="V169" i="4" s="1"/>
  <c r="I169" i="4"/>
  <c r="E169" i="4"/>
  <c r="O177" i="15"/>
  <c r="F169" i="4" l="1"/>
  <c r="U177" i="15"/>
  <c r="V177" i="15" s="1"/>
  <c r="L177" i="15"/>
  <c r="M177" i="15" s="1"/>
  <c r="I177" i="15"/>
  <c r="W169" i="4"/>
  <c r="Y169" i="4"/>
  <c r="M169" i="4"/>
  <c r="Z169" i="4"/>
  <c r="E177" i="15"/>
  <c r="X169" i="4" l="1"/>
  <c r="AA169" i="4" s="1"/>
  <c r="AB169" i="4" s="1"/>
  <c r="F177" i="15"/>
  <c r="N177" i="15"/>
  <c r="Q177" i="15" s="1"/>
  <c r="P177" i="15"/>
  <c r="Y177" i="15"/>
  <c r="W177" i="15"/>
  <c r="P169" i="4"/>
  <c r="N169" i="4"/>
  <c r="Z177" i="15"/>
  <c r="R177" i="15"/>
  <c r="R169" i="4"/>
  <c r="X177" i="15" l="1"/>
  <c r="S177" i="15"/>
  <c r="AA177" i="15"/>
  <c r="AB177" i="15" s="1"/>
  <c r="G177" i="15"/>
  <c r="Q169" i="4"/>
  <c r="S169" i="4" s="1"/>
  <c r="T169" i="4" s="1"/>
  <c r="G169" i="4"/>
  <c r="AC169" i="4"/>
  <c r="H170" i="4"/>
  <c r="AC177" i="15"/>
  <c r="H178" i="15"/>
  <c r="J178" i="15" l="1"/>
  <c r="AG177" i="15"/>
  <c r="C178" i="15" s="1"/>
  <c r="AF177" i="15"/>
  <c r="AD177" i="15"/>
  <c r="AE177" i="15" s="1"/>
  <c r="AI177" i="15"/>
  <c r="T177" i="15"/>
  <c r="K178" i="15"/>
  <c r="K170" i="4"/>
  <c r="AD169" i="4"/>
  <c r="AE169" i="4" s="1"/>
  <c r="AG169" i="4"/>
  <c r="C170" i="4" s="1"/>
  <c r="AI169" i="4"/>
  <c r="AJ169" i="4" s="1"/>
  <c r="AF169" i="4"/>
  <c r="AH177" i="15" l="1"/>
  <c r="D178" i="15" s="1"/>
  <c r="B178" i="15"/>
  <c r="AK177" i="15"/>
  <c r="AJ177" i="15"/>
  <c r="AL177" i="15"/>
  <c r="AL170" i="4"/>
  <c r="AH169" i="4"/>
  <c r="D170" i="4" s="1"/>
  <c r="AK170" i="4"/>
  <c r="B170" i="4"/>
  <c r="O178" i="15"/>
  <c r="O171" i="4"/>
  <c r="I178" i="15" l="1"/>
  <c r="U178" i="15"/>
  <c r="V178" i="15" s="1"/>
  <c r="L178" i="15"/>
  <c r="M178" i="15" s="1"/>
  <c r="L170" i="4"/>
  <c r="U170" i="4" s="1"/>
  <c r="V170" i="4" s="1"/>
  <c r="I170" i="4"/>
  <c r="E170" i="4"/>
  <c r="E178" i="15"/>
  <c r="F170" i="4" l="1"/>
  <c r="F178" i="15"/>
  <c r="Y178" i="15"/>
  <c r="W178" i="15"/>
  <c r="N178" i="15"/>
  <c r="P178" i="15"/>
  <c r="M170" i="4"/>
  <c r="P170" i="4" s="1"/>
  <c r="Y170" i="4"/>
  <c r="W170" i="4"/>
  <c r="R178" i="15"/>
  <c r="Z178" i="15"/>
  <c r="Z170" i="4"/>
  <c r="R170" i="4"/>
  <c r="X170" i="4" l="1"/>
  <c r="AA170" i="4" s="1"/>
  <c r="AB170" i="4" s="1"/>
  <c r="X178" i="15"/>
  <c r="AA178" i="15" s="1"/>
  <c r="AB178" i="15" s="1"/>
  <c r="Q178" i="15"/>
  <c r="S178" i="15" s="1"/>
  <c r="G178" i="15"/>
  <c r="N170" i="4"/>
  <c r="G170" i="4" s="1"/>
  <c r="H179" i="15"/>
  <c r="AC178" i="15"/>
  <c r="J179" i="15" l="1"/>
  <c r="AG178" i="15"/>
  <c r="C179" i="15" s="1"/>
  <c r="AF178" i="15"/>
  <c r="AI178" i="15"/>
  <c r="AD178" i="15"/>
  <c r="AE178" i="15" s="1"/>
  <c r="K179" i="15"/>
  <c r="T178" i="15"/>
  <c r="Q170" i="4"/>
  <c r="S170" i="4" s="1"/>
  <c r="T170" i="4" s="1"/>
  <c r="AC170" i="4"/>
  <c r="H171" i="4"/>
  <c r="B179" i="15" l="1"/>
  <c r="AH178" i="15"/>
  <c r="D179" i="15" s="1"/>
  <c r="AK178" i="15"/>
  <c r="AL178" i="15"/>
  <c r="AJ178" i="15"/>
  <c r="K171" i="4"/>
  <c r="AG170" i="4"/>
  <c r="C171" i="4" s="1"/>
  <c r="AI170" i="4"/>
  <c r="AJ170" i="4" s="1"/>
  <c r="AF170" i="4"/>
  <c r="AD170" i="4"/>
  <c r="AE170" i="4" s="1"/>
  <c r="O179" i="15"/>
  <c r="AH170" i="4" l="1"/>
  <c r="D171" i="4" s="1"/>
  <c r="L171" i="4" s="1"/>
  <c r="U171" i="4" s="1"/>
  <c r="V171" i="4" s="1"/>
  <c r="L179" i="15"/>
  <c r="M179" i="15" s="1"/>
  <c r="U179" i="15"/>
  <c r="V179" i="15" s="1"/>
  <c r="I179" i="15"/>
  <c r="B171" i="4"/>
  <c r="I171" i="4" s="1"/>
  <c r="AK171" i="4"/>
  <c r="AL171" i="4"/>
  <c r="E171" i="4"/>
  <c r="O172" i="4"/>
  <c r="E179" i="15"/>
  <c r="F171" i="4" l="1"/>
  <c r="W171" i="4"/>
  <c r="M171" i="4"/>
  <c r="P171" i="4" s="1"/>
  <c r="F179" i="15"/>
  <c r="W179" i="15"/>
  <c r="Y179" i="15"/>
  <c r="N179" i="15"/>
  <c r="P179" i="15"/>
  <c r="Y171" i="4"/>
  <c r="R179" i="15"/>
  <c r="Z179" i="15"/>
  <c r="R171" i="4"/>
  <c r="Z171" i="4"/>
  <c r="X171" i="4" l="1"/>
  <c r="AA171" i="4" s="1"/>
  <c r="AB171" i="4" s="1"/>
  <c r="N171" i="4"/>
  <c r="Q171" i="4" s="1"/>
  <c r="S171" i="4" s="1"/>
  <c r="X179" i="15"/>
  <c r="AA179" i="15" s="1"/>
  <c r="AB179" i="15" s="1"/>
  <c r="Q179" i="15"/>
  <c r="S179" i="15" s="1"/>
  <c r="T179" i="15" s="1"/>
  <c r="G179" i="15"/>
  <c r="AC171" i="4"/>
  <c r="AC179" i="15"/>
  <c r="H172" i="4"/>
  <c r="H180" i="15"/>
  <c r="G171" i="4" l="1"/>
  <c r="J180" i="15"/>
  <c r="AF179" i="15"/>
  <c r="AI179" i="15"/>
  <c r="AD179" i="15"/>
  <c r="AE179" i="15" s="1"/>
  <c r="AG179" i="15"/>
  <c r="C180" i="15" s="1"/>
  <c r="K180" i="15"/>
  <c r="K172" i="4"/>
  <c r="AD171" i="4"/>
  <c r="AE171" i="4" s="1"/>
  <c r="AF171" i="4"/>
  <c r="AI171" i="4"/>
  <c r="AJ171" i="4" s="1"/>
  <c r="AG171" i="4"/>
  <c r="C172" i="4" s="1"/>
  <c r="T171" i="4"/>
  <c r="AL179" i="15" l="1"/>
  <c r="AK179" i="15"/>
  <c r="AJ179" i="15"/>
  <c r="AH179" i="15"/>
  <c r="D180" i="15" s="1"/>
  <c r="B180" i="15"/>
  <c r="AK172" i="4"/>
  <c r="B172" i="4"/>
  <c r="AH171" i="4"/>
  <c r="D172" i="4" s="1"/>
  <c r="AL172" i="4"/>
  <c r="O180" i="15"/>
  <c r="O173" i="4"/>
  <c r="L180" i="15" l="1"/>
  <c r="M180" i="15" s="1"/>
  <c r="U180" i="15"/>
  <c r="V180" i="15" s="1"/>
  <c r="I180" i="15"/>
  <c r="I172" i="4"/>
  <c r="L172" i="4"/>
  <c r="U172" i="4" s="1"/>
  <c r="V172" i="4" s="1"/>
  <c r="E180" i="15"/>
  <c r="E172" i="4"/>
  <c r="F172" i="4" l="1"/>
  <c r="F180" i="15"/>
  <c r="Y180" i="15"/>
  <c r="W180" i="15"/>
  <c r="N180" i="15"/>
  <c r="P180" i="15"/>
  <c r="M172" i="4"/>
  <c r="Y172" i="4"/>
  <c r="W172" i="4"/>
  <c r="Z180" i="15"/>
  <c r="R180" i="15"/>
  <c r="Z172" i="4"/>
  <c r="X172" i="4" l="1"/>
  <c r="AA172" i="4" s="1"/>
  <c r="AB172" i="4" s="1"/>
  <c r="X180" i="15"/>
  <c r="AA180" i="15" s="1"/>
  <c r="AB180" i="15" s="1"/>
  <c r="Q180" i="15"/>
  <c r="S180" i="15" s="1"/>
  <c r="G180" i="15"/>
  <c r="N172" i="4"/>
  <c r="P172" i="4"/>
  <c r="R172" i="4"/>
  <c r="AC180" i="15"/>
  <c r="H181" i="15"/>
  <c r="J181" i="15" l="1"/>
  <c r="AF180" i="15"/>
  <c r="AI180" i="15"/>
  <c r="AD180" i="15"/>
  <c r="AE180" i="15" s="1"/>
  <c r="AG180" i="15"/>
  <c r="C181" i="15" s="1"/>
  <c r="T180" i="15"/>
  <c r="K181" i="15"/>
  <c r="G172" i="4"/>
  <c r="Q172" i="4"/>
  <c r="S172" i="4" s="1"/>
  <c r="T172" i="4" s="1"/>
  <c r="AC172" i="4"/>
  <c r="H173" i="4"/>
  <c r="AJ180" i="15" l="1"/>
  <c r="AL180" i="15"/>
  <c r="AK180" i="15"/>
  <c r="B181" i="15"/>
  <c r="AH180" i="15"/>
  <c r="D181" i="15" s="1"/>
  <c r="K173" i="4"/>
  <c r="AI172" i="4"/>
  <c r="AJ172" i="4" s="1"/>
  <c r="AD172" i="4"/>
  <c r="AE172" i="4" s="1"/>
  <c r="AG172" i="4"/>
  <c r="C173" i="4" s="1"/>
  <c r="AF172" i="4"/>
  <c r="O181" i="15"/>
  <c r="I181" i="15" l="1"/>
  <c r="L181" i="15"/>
  <c r="M181" i="15" s="1"/>
  <c r="U181" i="15"/>
  <c r="V181" i="15" s="1"/>
  <c r="AH172" i="4"/>
  <c r="D173" i="4" s="1"/>
  <c r="L173" i="4" s="1"/>
  <c r="B173" i="4"/>
  <c r="I173" i="4" s="1"/>
  <c r="AK173" i="4"/>
  <c r="AL173" i="4"/>
  <c r="O174" i="4"/>
  <c r="E173" i="4"/>
  <c r="E181" i="15"/>
  <c r="F173" i="4" l="1"/>
  <c r="F181" i="15"/>
  <c r="Y181" i="15"/>
  <c r="W181" i="15"/>
  <c r="N181" i="15"/>
  <c r="P181" i="15"/>
  <c r="U173" i="4"/>
  <c r="V173" i="4" s="1"/>
  <c r="M173" i="4"/>
  <c r="Z181" i="15"/>
  <c r="R181" i="15"/>
  <c r="X181" i="15" l="1"/>
  <c r="AA181" i="15" s="1"/>
  <c r="AB181" i="15" s="1"/>
  <c r="Q181" i="15"/>
  <c r="S181" i="15" s="1"/>
  <c r="T181" i="15" s="1"/>
  <c r="G181" i="15"/>
  <c r="Y173" i="4"/>
  <c r="W173" i="4"/>
  <c r="X173" i="4" s="1"/>
  <c r="N173" i="4"/>
  <c r="Q173" i="4" s="1"/>
  <c r="P173" i="4"/>
  <c r="R173" i="4"/>
  <c r="Z173" i="4"/>
  <c r="AC181" i="15"/>
  <c r="H182" i="15"/>
  <c r="J182" i="15" l="1"/>
  <c r="AI181" i="15"/>
  <c r="AD181" i="15"/>
  <c r="AE181" i="15" s="1"/>
  <c r="AG181" i="15"/>
  <c r="C182" i="15" s="1"/>
  <c r="AF181" i="15"/>
  <c r="K182" i="15"/>
  <c r="AA173" i="4"/>
  <c r="AB173" i="4" s="1"/>
  <c r="G173" i="4"/>
  <c r="S173" i="4"/>
  <c r="T173" i="4" s="1"/>
  <c r="AC173" i="4"/>
  <c r="H174" i="4"/>
  <c r="AK181" i="15" l="1"/>
  <c r="AJ181" i="15"/>
  <c r="AL181" i="15"/>
  <c r="B182" i="15"/>
  <c r="AH181" i="15"/>
  <c r="D182" i="15" s="1"/>
  <c r="AI173" i="4"/>
  <c r="AJ173" i="4" s="1"/>
  <c r="AD173" i="4"/>
  <c r="AE173" i="4" s="1"/>
  <c r="AG173" i="4"/>
  <c r="C174" i="4" s="1"/>
  <c r="AF173" i="4"/>
  <c r="K174" i="4"/>
  <c r="O182" i="15"/>
  <c r="I182" i="15" l="1"/>
  <c r="L182" i="15"/>
  <c r="M182" i="15" s="1"/>
  <c r="U182" i="15"/>
  <c r="V182" i="15" s="1"/>
  <c r="AH173" i="4"/>
  <c r="D174" i="4" s="1"/>
  <c r="L174" i="4" s="1"/>
  <c r="U174" i="4" s="1"/>
  <c r="V174" i="4" s="1"/>
  <c r="B174" i="4"/>
  <c r="AK174" i="4"/>
  <c r="AL174" i="4"/>
  <c r="O175" i="4"/>
  <c r="E182" i="15"/>
  <c r="F182" i="15" l="1"/>
  <c r="W182" i="15"/>
  <c r="Y182" i="15"/>
  <c r="P182" i="15"/>
  <c r="N182" i="15"/>
  <c r="M174" i="4"/>
  <c r="N174" i="4" s="1"/>
  <c r="W174" i="4"/>
  <c r="I174" i="4"/>
  <c r="Y174" i="4"/>
  <c r="R182" i="15"/>
  <c r="E174" i="4"/>
  <c r="Z182" i="15"/>
  <c r="Z174" i="4"/>
  <c r="F174" i="4" l="1"/>
  <c r="G174" i="4" s="1"/>
  <c r="Q174" i="4"/>
  <c r="X182" i="15"/>
  <c r="AA182" i="15" s="1"/>
  <c r="AB182" i="15" s="1"/>
  <c r="P174" i="4"/>
  <c r="Q182" i="15"/>
  <c r="S182" i="15" s="1"/>
  <c r="G182" i="15"/>
  <c r="AC182" i="15"/>
  <c r="R174" i="4"/>
  <c r="H183" i="15"/>
  <c r="X174" i="4" l="1"/>
  <c r="AA174" i="4" s="1"/>
  <c r="AB174" i="4" s="1"/>
  <c r="S174" i="4"/>
  <c r="T174" i="4" s="1"/>
  <c r="J183" i="15"/>
  <c r="AD182" i="15"/>
  <c r="AE182" i="15" s="1"/>
  <c r="AG182" i="15"/>
  <c r="C183" i="15" s="1"/>
  <c r="AF182" i="15"/>
  <c r="AI182" i="15"/>
  <c r="T182" i="15"/>
  <c r="K183" i="15"/>
  <c r="H175" i="4"/>
  <c r="AC174" i="4"/>
  <c r="AI174" i="4" l="1"/>
  <c r="AJ174" i="4" s="1"/>
  <c r="AD174" i="4"/>
  <c r="AE174" i="4" s="1"/>
  <c r="AF174" i="4"/>
  <c r="B175" i="4" s="1"/>
  <c r="AG174" i="4"/>
  <c r="C175" i="4" s="1"/>
  <c r="K175" i="4"/>
  <c r="B183" i="15"/>
  <c r="AH182" i="15"/>
  <c r="D183" i="15" s="1"/>
  <c r="AL182" i="15"/>
  <c r="AJ182" i="15"/>
  <c r="AK182" i="15"/>
  <c r="O183" i="15"/>
  <c r="O176" i="4"/>
  <c r="AL175" i="4" l="1"/>
  <c r="AK175" i="4"/>
  <c r="AH174" i="4"/>
  <c r="D175" i="4" s="1"/>
  <c r="L175" i="4" s="1"/>
  <c r="U175" i="4" s="1"/>
  <c r="V175" i="4" s="1"/>
  <c r="I175" i="4"/>
  <c r="L183" i="15"/>
  <c r="M183" i="15" s="1"/>
  <c r="U183" i="15"/>
  <c r="V183" i="15" s="1"/>
  <c r="I183" i="15"/>
  <c r="E175" i="4"/>
  <c r="E183" i="15"/>
  <c r="F175" i="4" l="1"/>
  <c r="F183" i="15"/>
  <c r="Y183" i="15"/>
  <c r="W183" i="15"/>
  <c r="P183" i="15"/>
  <c r="N183" i="15"/>
  <c r="Y175" i="4"/>
  <c r="W175" i="4"/>
  <c r="M175" i="4"/>
  <c r="R183" i="15"/>
  <c r="Z175" i="4"/>
  <c r="Z183" i="15"/>
  <c r="X175" i="4" l="1"/>
  <c r="AA175" i="4" s="1"/>
  <c r="AB175" i="4" s="1"/>
  <c r="X183" i="15"/>
  <c r="AA183" i="15" s="1"/>
  <c r="AB183" i="15" s="1"/>
  <c r="Q183" i="15"/>
  <c r="S183" i="15" s="1"/>
  <c r="G183" i="15"/>
  <c r="P175" i="4"/>
  <c r="N175" i="4"/>
  <c r="Q175" i="4" s="1"/>
  <c r="R175" i="4"/>
  <c r="H184" i="15"/>
  <c r="AC183" i="15"/>
  <c r="J184" i="15" l="1"/>
  <c r="AF183" i="15"/>
  <c r="AI183" i="15"/>
  <c r="AD183" i="15"/>
  <c r="AE183" i="15" s="1"/>
  <c r="AG183" i="15"/>
  <c r="C184" i="15" s="1"/>
  <c r="T183" i="15"/>
  <c r="K184" i="15"/>
  <c r="G175" i="4"/>
  <c r="S175" i="4"/>
  <c r="T175" i="4" s="1"/>
  <c r="AC175" i="4"/>
  <c r="H176" i="4"/>
  <c r="AJ183" i="15" l="1"/>
  <c r="AK183" i="15"/>
  <c r="AL183" i="15"/>
  <c r="B184" i="15"/>
  <c r="AH183" i="15"/>
  <c r="D184" i="15" s="1"/>
  <c r="K176" i="4"/>
  <c r="AI175" i="4"/>
  <c r="AJ175" i="4" s="1"/>
  <c r="AD175" i="4"/>
  <c r="AE175" i="4" s="1"/>
  <c r="AG175" i="4"/>
  <c r="C176" i="4" s="1"/>
  <c r="AF175" i="4"/>
  <c r="O184" i="15"/>
  <c r="I184" i="15" l="1"/>
  <c r="L184" i="15"/>
  <c r="M184" i="15" s="1"/>
  <c r="U184" i="15"/>
  <c r="V184" i="15" s="1"/>
  <c r="B176" i="4"/>
  <c r="AH175" i="4"/>
  <c r="D176" i="4" s="1"/>
  <c r="AL176" i="4"/>
  <c r="AK176" i="4"/>
  <c r="O177" i="4"/>
  <c r="E184" i="15"/>
  <c r="F184" i="15" l="1"/>
  <c r="Y184" i="15"/>
  <c r="W184" i="15"/>
  <c r="P184" i="15"/>
  <c r="N184" i="15"/>
  <c r="L176" i="4"/>
  <c r="U176" i="4" s="1"/>
  <c r="V176" i="4" s="1"/>
  <c r="I176" i="4"/>
  <c r="R184" i="15"/>
  <c r="E176" i="4"/>
  <c r="Z184" i="15"/>
  <c r="F176" i="4" l="1"/>
  <c r="X184" i="15"/>
  <c r="AA184" i="15" s="1"/>
  <c r="AB184" i="15" s="1"/>
  <c r="Q184" i="15"/>
  <c r="S184" i="15" s="1"/>
  <c r="G184" i="15"/>
  <c r="W176" i="4"/>
  <c r="Y176" i="4"/>
  <c r="M176" i="4"/>
  <c r="AC184" i="15"/>
  <c r="H185" i="15"/>
  <c r="Z176" i="4"/>
  <c r="X176" i="4" l="1"/>
  <c r="AA176" i="4" s="1"/>
  <c r="AB176" i="4" s="1"/>
  <c r="J185" i="15"/>
  <c r="AI184" i="15"/>
  <c r="AG184" i="15"/>
  <c r="C185" i="15" s="1"/>
  <c r="AD184" i="15"/>
  <c r="AE184" i="15" s="1"/>
  <c r="AF184" i="15"/>
  <c r="T184" i="15"/>
  <c r="K185" i="15"/>
  <c r="P176" i="4"/>
  <c r="N176" i="4"/>
  <c r="R176" i="4"/>
  <c r="AJ184" i="15" l="1"/>
  <c r="AK184" i="15"/>
  <c r="AL184" i="15"/>
  <c r="AH184" i="15"/>
  <c r="D185" i="15" s="1"/>
  <c r="B185" i="15"/>
  <c r="Q176" i="4"/>
  <c r="S176" i="4" s="1"/>
  <c r="G176" i="4"/>
  <c r="H177" i="4"/>
  <c r="AC176" i="4"/>
  <c r="O185" i="15"/>
  <c r="U185" i="15" l="1"/>
  <c r="V185" i="15" s="1"/>
  <c r="L185" i="15"/>
  <c r="M185" i="15" s="1"/>
  <c r="I185" i="15"/>
  <c r="K177" i="4"/>
  <c r="AI176" i="4"/>
  <c r="AJ176" i="4" s="1"/>
  <c r="AD176" i="4"/>
  <c r="AE176" i="4" s="1"/>
  <c r="AG176" i="4"/>
  <c r="C177" i="4" s="1"/>
  <c r="AF176" i="4"/>
  <c r="T176" i="4"/>
  <c r="E185" i="15"/>
  <c r="F185" i="15" l="1"/>
  <c r="P185" i="15"/>
  <c r="N185" i="15"/>
  <c r="Y185" i="15"/>
  <c r="W185" i="15"/>
  <c r="AK177" i="4"/>
  <c r="AL177" i="4"/>
  <c r="B177" i="4"/>
  <c r="AH176" i="4"/>
  <c r="D177" i="4" s="1"/>
  <c r="O178" i="4"/>
  <c r="R185" i="15"/>
  <c r="Z185" i="15"/>
  <c r="X185" i="15" l="1"/>
  <c r="AA185" i="15" s="1"/>
  <c r="AB185" i="15" s="1"/>
  <c r="Q185" i="15"/>
  <c r="S185" i="15" s="1"/>
  <c r="G185" i="15"/>
  <c r="L177" i="4"/>
  <c r="U177" i="4" s="1"/>
  <c r="V177" i="4" s="1"/>
  <c r="I177" i="4"/>
  <c r="E177" i="4"/>
  <c r="AC185" i="15"/>
  <c r="H186" i="15"/>
  <c r="F177" i="4" l="1"/>
  <c r="J186" i="15"/>
  <c r="AG185" i="15"/>
  <c r="C186" i="15" s="1"/>
  <c r="AF185" i="15"/>
  <c r="AI185" i="15"/>
  <c r="AD185" i="15"/>
  <c r="AE185" i="15" s="1"/>
  <c r="K186" i="15"/>
  <c r="T185" i="15"/>
  <c r="Y177" i="4"/>
  <c r="W177" i="4"/>
  <c r="M177" i="4"/>
  <c r="Z177" i="4"/>
  <c r="X177" i="4" l="1"/>
  <c r="AA177" i="4" s="1"/>
  <c r="AB177" i="4" s="1"/>
  <c r="AK185" i="15"/>
  <c r="AJ185" i="15"/>
  <c r="AL185" i="15"/>
  <c r="AH185" i="15"/>
  <c r="D186" i="15" s="1"/>
  <c r="B186" i="15"/>
  <c r="P177" i="4"/>
  <c r="N177" i="4"/>
  <c r="O186" i="15"/>
  <c r="R177" i="4"/>
  <c r="U186" i="15" l="1"/>
  <c r="V186" i="15" s="1"/>
  <c r="L186" i="15"/>
  <c r="M186" i="15" s="1"/>
  <c r="I186" i="15"/>
  <c r="Q177" i="4"/>
  <c r="S177" i="4" s="1"/>
  <c r="G177" i="4"/>
  <c r="E186" i="15"/>
  <c r="AC177" i="4"/>
  <c r="H178" i="4"/>
  <c r="F186" i="15" l="1"/>
  <c r="N186" i="15"/>
  <c r="P186" i="15"/>
  <c r="Y186" i="15"/>
  <c r="W186" i="15"/>
  <c r="K178" i="4"/>
  <c r="AI177" i="4"/>
  <c r="AJ177" i="4" s="1"/>
  <c r="AD177" i="4"/>
  <c r="AE177" i="4" s="1"/>
  <c r="AG177" i="4"/>
  <c r="C178" i="4" s="1"/>
  <c r="AF177" i="4"/>
  <c r="T177" i="4"/>
  <c r="R186" i="15"/>
  <c r="Z186" i="15"/>
  <c r="X186" i="15" l="1"/>
  <c r="AA186" i="15" s="1"/>
  <c r="AB186" i="15" s="1"/>
  <c r="Q186" i="15"/>
  <c r="S186" i="15" s="1"/>
  <c r="G186" i="15"/>
  <c r="B178" i="4"/>
  <c r="AH177" i="4"/>
  <c r="D178" i="4" s="1"/>
  <c r="AK178" i="4"/>
  <c r="AL178" i="4"/>
  <c r="H187" i="15"/>
  <c r="O179" i="4"/>
  <c r="AC186" i="15"/>
  <c r="J187" i="15" l="1"/>
  <c r="AI186" i="15"/>
  <c r="AD186" i="15"/>
  <c r="AE186" i="15" s="1"/>
  <c r="AG186" i="15"/>
  <c r="C187" i="15" s="1"/>
  <c r="AF186" i="15"/>
  <c r="K187" i="15"/>
  <c r="T186" i="15"/>
  <c r="L178" i="4"/>
  <c r="U178" i="4" s="1"/>
  <c r="V178" i="4" s="1"/>
  <c r="I178" i="4"/>
  <c r="E178" i="4"/>
  <c r="F178" i="4" l="1"/>
  <c r="AL186" i="15"/>
  <c r="AJ186" i="15"/>
  <c r="AK186" i="15"/>
  <c r="AH186" i="15"/>
  <c r="D187" i="15" s="1"/>
  <c r="B187" i="15"/>
  <c r="Y178" i="4"/>
  <c r="W178" i="4"/>
  <c r="M178" i="4"/>
  <c r="O187" i="15"/>
  <c r="Z178" i="4"/>
  <c r="X178" i="4" l="1"/>
  <c r="AA178" i="4" s="1"/>
  <c r="AB178" i="4" s="1"/>
  <c r="L187" i="15"/>
  <c r="M187" i="15" s="1"/>
  <c r="U187" i="15"/>
  <c r="V187" i="15" s="1"/>
  <c r="I187" i="15"/>
  <c r="P178" i="4"/>
  <c r="N178" i="4"/>
  <c r="E187" i="15"/>
  <c r="R178" i="4"/>
  <c r="F187" i="15" l="1"/>
  <c r="Y187" i="15"/>
  <c r="W187" i="15"/>
  <c r="P187" i="15"/>
  <c r="N187" i="15"/>
  <c r="Q178" i="4"/>
  <c r="S178" i="4" s="1"/>
  <c r="G178" i="4"/>
  <c r="R187" i="15"/>
  <c r="H179" i="4"/>
  <c r="AC178" i="4"/>
  <c r="Z187" i="15"/>
  <c r="X187" i="15" l="1"/>
  <c r="AA187" i="15" s="1"/>
  <c r="AB187" i="15" s="1"/>
  <c r="Q187" i="15"/>
  <c r="S187" i="15" s="1"/>
  <c r="G187" i="15"/>
  <c r="K179" i="4"/>
  <c r="AD178" i="4"/>
  <c r="AE178" i="4" s="1"/>
  <c r="AI178" i="4"/>
  <c r="AJ178" i="4" s="1"/>
  <c r="AG178" i="4"/>
  <c r="C179" i="4" s="1"/>
  <c r="AF178" i="4"/>
  <c r="T178" i="4"/>
  <c r="H188" i="15"/>
  <c r="AC187" i="15"/>
  <c r="J188" i="15" l="1"/>
  <c r="AI187" i="15"/>
  <c r="AD187" i="15"/>
  <c r="AE187" i="15" s="1"/>
  <c r="AG187" i="15"/>
  <c r="C188" i="15" s="1"/>
  <c r="AF187" i="15"/>
  <c r="K188" i="15"/>
  <c r="T187" i="15"/>
  <c r="AL179" i="4"/>
  <c r="B179" i="4"/>
  <c r="AH178" i="4"/>
  <c r="D179" i="4" s="1"/>
  <c r="AK179" i="4"/>
  <c r="O180" i="4"/>
  <c r="AK187" i="15" l="1"/>
  <c r="AJ187" i="15"/>
  <c r="AL187" i="15"/>
  <c r="B188" i="15"/>
  <c r="AH187" i="15"/>
  <c r="D188" i="15" s="1"/>
  <c r="L179" i="4"/>
  <c r="U179" i="4" s="1"/>
  <c r="V179" i="4" s="1"/>
  <c r="I179" i="4"/>
  <c r="E179" i="4"/>
  <c r="O188" i="15"/>
  <c r="F179" i="4" l="1"/>
  <c r="I188" i="15"/>
  <c r="L188" i="15"/>
  <c r="M188" i="15" s="1"/>
  <c r="U188" i="15"/>
  <c r="V188" i="15" s="1"/>
  <c r="W179" i="4"/>
  <c r="Y179" i="4"/>
  <c r="M179" i="4"/>
  <c r="Z179" i="4"/>
  <c r="E188" i="15"/>
  <c r="X179" i="4" l="1"/>
  <c r="AA179" i="4" s="1"/>
  <c r="AB179" i="4" s="1"/>
  <c r="F188" i="15"/>
  <c r="N188" i="15"/>
  <c r="P188" i="15"/>
  <c r="W188" i="15"/>
  <c r="Y188" i="15"/>
  <c r="P179" i="4"/>
  <c r="N179" i="4"/>
  <c r="R188" i="15"/>
  <c r="R179" i="4"/>
  <c r="Z188" i="15"/>
  <c r="X188" i="15" l="1"/>
  <c r="AA188" i="15" s="1"/>
  <c r="AB188" i="15" s="1"/>
  <c r="Q188" i="15"/>
  <c r="S188" i="15" s="1"/>
  <c r="G188" i="15"/>
  <c r="Q179" i="4"/>
  <c r="S179" i="4" s="1"/>
  <c r="G179" i="4"/>
  <c r="H180" i="4"/>
  <c r="H189" i="15"/>
  <c r="AC188" i="15"/>
  <c r="AC179" i="4"/>
  <c r="J189" i="15" l="1"/>
  <c r="AF188" i="15"/>
  <c r="AI188" i="15"/>
  <c r="AD188" i="15"/>
  <c r="AE188" i="15" s="1"/>
  <c r="AG188" i="15"/>
  <c r="C189" i="15" s="1"/>
  <c r="K189" i="15"/>
  <c r="T188" i="15"/>
  <c r="K180" i="4"/>
  <c r="AI179" i="4"/>
  <c r="AJ179" i="4" s="1"/>
  <c r="AD179" i="4"/>
  <c r="AE179" i="4" s="1"/>
  <c r="AG179" i="4"/>
  <c r="C180" i="4" s="1"/>
  <c r="AF179" i="4"/>
  <c r="T179" i="4"/>
  <c r="AJ188" i="15" l="1"/>
  <c r="AK188" i="15"/>
  <c r="AL188" i="15"/>
  <c r="AH188" i="15"/>
  <c r="D189" i="15" s="1"/>
  <c r="B189" i="15"/>
  <c r="AK180" i="4"/>
  <c r="B180" i="4"/>
  <c r="AH179" i="4"/>
  <c r="D180" i="4" s="1"/>
  <c r="AL180" i="4"/>
  <c r="O189" i="15"/>
  <c r="O181" i="4"/>
  <c r="L189" i="15" l="1"/>
  <c r="M189" i="15" s="1"/>
  <c r="U189" i="15"/>
  <c r="V189" i="15" s="1"/>
  <c r="I189" i="15"/>
  <c r="I180" i="4"/>
  <c r="L180" i="4"/>
  <c r="U180" i="4" s="1"/>
  <c r="V180" i="4" s="1"/>
  <c r="E180" i="4"/>
  <c r="E189" i="15"/>
  <c r="F180" i="4" l="1"/>
  <c r="F189" i="15"/>
  <c r="W189" i="15"/>
  <c r="Y189" i="15"/>
  <c r="N189" i="15"/>
  <c r="P189" i="15"/>
  <c r="M180" i="4"/>
  <c r="W180" i="4"/>
  <c r="Y180" i="4"/>
  <c r="Z189" i="15"/>
  <c r="R189" i="15"/>
  <c r="Z180" i="4"/>
  <c r="X180" i="4" l="1"/>
  <c r="AA180" i="4" s="1"/>
  <c r="AB180" i="4" s="1"/>
  <c r="X189" i="15"/>
  <c r="AA189" i="15" s="1"/>
  <c r="AB189" i="15" s="1"/>
  <c r="Q189" i="15"/>
  <c r="S189" i="15" s="1"/>
  <c r="G189" i="15"/>
  <c r="P180" i="4"/>
  <c r="N180" i="4"/>
  <c r="R180" i="4"/>
  <c r="H190" i="15"/>
  <c r="AC189" i="15"/>
  <c r="J190" i="15" l="1"/>
  <c r="AF189" i="15"/>
  <c r="AI189" i="15"/>
  <c r="AD189" i="15"/>
  <c r="AE189" i="15" s="1"/>
  <c r="AG189" i="15"/>
  <c r="C190" i="15" s="1"/>
  <c r="T189" i="15"/>
  <c r="K190" i="15"/>
  <c r="Q180" i="4"/>
  <c r="S180" i="4" s="1"/>
  <c r="G180" i="4"/>
  <c r="H181" i="4"/>
  <c r="AC180" i="4"/>
  <c r="AK189" i="15" l="1"/>
  <c r="AL189" i="15"/>
  <c r="AJ189" i="15"/>
  <c r="AH189" i="15"/>
  <c r="D190" i="15" s="1"/>
  <c r="B190" i="15"/>
  <c r="K181" i="4"/>
  <c r="AD180" i="4"/>
  <c r="AE180" i="4" s="1"/>
  <c r="AI180" i="4"/>
  <c r="AJ180" i="4" s="1"/>
  <c r="AG180" i="4"/>
  <c r="C181" i="4" s="1"/>
  <c r="AF180" i="4"/>
  <c r="T180" i="4"/>
  <c r="O190" i="15"/>
  <c r="L190" i="15" l="1"/>
  <c r="M190" i="15" s="1"/>
  <c r="U190" i="15"/>
  <c r="V190" i="15" s="1"/>
  <c r="I190" i="15"/>
  <c r="AL181" i="4"/>
  <c r="B181" i="4"/>
  <c r="AH180" i="4"/>
  <c r="D181" i="4" s="1"/>
  <c r="AK181" i="4"/>
  <c r="O182" i="4"/>
  <c r="E190" i="15"/>
  <c r="F190" i="15" l="1"/>
  <c r="W190" i="15"/>
  <c r="Y190" i="15"/>
  <c r="P190" i="15"/>
  <c r="N190" i="15"/>
  <c r="I181" i="4"/>
  <c r="L181" i="4"/>
  <c r="U181" i="4" s="1"/>
  <c r="V181" i="4" s="1"/>
  <c r="Z190" i="15"/>
  <c r="E181" i="4"/>
  <c r="R190" i="15"/>
  <c r="F181" i="4" l="1"/>
  <c r="X190" i="15"/>
  <c r="AA190" i="15" s="1"/>
  <c r="AB190" i="15" s="1"/>
  <c r="Q190" i="15"/>
  <c r="S190" i="15" s="1"/>
  <c r="G190" i="15"/>
  <c r="M181" i="4"/>
  <c r="P181" i="4" s="1"/>
  <c r="W181" i="4"/>
  <c r="Y181" i="4"/>
  <c r="Z181" i="4"/>
  <c r="R181" i="4"/>
  <c r="AC190" i="15"/>
  <c r="H191" i="15"/>
  <c r="X181" i="4" l="1"/>
  <c r="AA181" i="4" s="1"/>
  <c r="AB181" i="4" s="1"/>
  <c r="J191" i="15"/>
  <c r="AI190" i="15"/>
  <c r="AD190" i="15"/>
  <c r="AE190" i="15" s="1"/>
  <c r="AG190" i="15"/>
  <c r="C191" i="15" s="1"/>
  <c r="AF190" i="15"/>
  <c r="K191" i="15"/>
  <c r="T190" i="15"/>
  <c r="N181" i="4"/>
  <c r="G181" i="4" s="1"/>
  <c r="AL190" i="15" l="1"/>
  <c r="AK190" i="15"/>
  <c r="AJ190" i="15"/>
  <c r="AH190" i="15"/>
  <c r="D191" i="15" s="1"/>
  <c r="B191" i="15"/>
  <c r="Q181" i="4"/>
  <c r="S181" i="4" s="1"/>
  <c r="H182" i="4"/>
  <c r="O191" i="15"/>
  <c r="AC181" i="4"/>
  <c r="L191" i="15" l="1"/>
  <c r="M191" i="15" s="1"/>
  <c r="U191" i="15"/>
  <c r="V191" i="15" s="1"/>
  <c r="I191" i="15"/>
  <c r="AG181" i="4"/>
  <c r="C182" i="4" s="1"/>
  <c r="AD181" i="4"/>
  <c r="AE181" i="4" s="1"/>
  <c r="AF181" i="4"/>
  <c r="B182" i="4" s="1"/>
  <c r="AI181" i="4"/>
  <c r="AJ181" i="4" s="1"/>
  <c r="K182" i="4"/>
  <c r="T181" i="4"/>
  <c r="E191" i="15"/>
  <c r="O183" i="4"/>
  <c r="AK182" i="4" l="1"/>
  <c r="F191" i="15"/>
  <c r="W191" i="15"/>
  <c r="Y191" i="15"/>
  <c r="P191" i="15"/>
  <c r="N191" i="15"/>
  <c r="AH181" i="4"/>
  <c r="D182" i="4" s="1"/>
  <c r="L182" i="4" s="1"/>
  <c r="U182" i="4" s="1"/>
  <c r="V182" i="4" s="1"/>
  <c r="AL182" i="4"/>
  <c r="I182" i="4"/>
  <c r="R191" i="15"/>
  <c r="Z191" i="15"/>
  <c r="E182" i="4"/>
  <c r="F182" i="4" l="1"/>
  <c r="X191" i="15"/>
  <c r="AA191" i="15" s="1"/>
  <c r="AB191" i="15" s="1"/>
  <c r="Q191" i="15"/>
  <c r="S191" i="15" s="1"/>
  <c r="G191" i="15"/>
  <c r="Y182" i="4"/>
  <c r="W182" i="4"/>
  <c r="M182" i="4"/>
  <c r="H192" i="15"/>
  <c r="Z182" i="4"/>
  <c r="AC191" i="15"/>
  <c r="X182" i="4" l="1"/>
  <c r="AA182" i="4" s="1"/>
  <c r="AB182" i="4" s="1"/>
  <c r="J192" i="15"/>
  <c r="AF191" i="15"/>
  <c r="AD191" i="15"/>
  <c r="AE191" i="15" s="1"/>
  <c r="AG191" i="15"/>
  <c r="C192" i="15" s="1"/>
  <c r="AI191" i="15"/>
  <c r="T191" i="15"/>
  <c r="K192" i="15"/>
  <c r="N182" i="4"/>
  <c r="P182" i="4"/>
  <c r="R182" i="4"/>
  <c r="B192" i="15" l="1"/>
  <c r="AH191" i="15"/>
  <c r="D192" i="15" s="1"/>
  <c r="AL191" i="15"/>
  <c r="AJ191" i="15"/>
  <c r="AK191" i="15"/>
  <c r="Q182" i="4"/>
  <c r="S182" i="4" s="1"/>
  <c r="G182" i="4"/>
  <c r="H183" i="4"/>
  <c r="AC182" i="4"/>
  <c r="O192" i="15"/>
  <c r="L192" i="15" l="1"/>
  <c r="M192" i="15" s="1"/>
  <c r="U192" i="15"/>
  <c r="V192" i="15" s="1"/>
  <c r="I192" i="15"/>
  <c r="K183" i="4"/>
  <c r="AD182" i="4"/>
  <c r="AE182" i="4" s="1"/>
  <c r="AI182" i="4"/>
  <c r="AJ182" i="4" s="1"/>
  <c r="AG182" i="4"/>
  <c r="C183" i="4" s="1"/>
  <c r="AF182" i="4"/>
  <c r="B183" i="4" s="1"/>
  <c r="T182" i="4"/>
  <c r="O184" i="4"/>
  <c r="E192" i="15"/>
  <c r="F192" i="15" l="1"/>
  <c r="Y192" i="15"/>
  <c r="W192" i="15"/>
  <c r="N192" i="15"/>
  <c r="P192" i="15"/>
  <c r="AH182" i="4"/>
  <c r="D183" i="4" s="1"/>
  <c r="I183" i="4"/>
  <c r="AK183" i="4"/>
  <c r="AL183" i="4"/>
  <c r="R192" i="15"/>
  <c r="E183" i="4"/>
  <c r="Z192" i="15"/>
  <c r="F183" i="4" l="1"/>
  <c r="X192" i="15"/>
  <c r="AA192" i="15" s="1"/>
  <c r="AB192" i="15" s="1"/>
  <c r="Q192" i="15"/>
  <c r="S192" i="15" s="1"/>
  <c r="G192" i="15"/>
  <c r="L183" i="4"/>
  <c r="U183" i="4" s="1"/>
  <c r="V183" i="4" s="1"/>
  <c r="H193" i="15"/>
  <c r="AC192" i="15"/>
  <c r="J193" i="15" l="1"/>
  <c r="AG192" i="15"/>
  <c r="C193" i="15" s="1"/>
  <c r="AF192" i="15"/>
  <c r="AI192" i="15"/>
  <c r="AD192" i="15"/>
  <c r="AE192" i="15" s="1"/>
  <c r="T192" i="15"/>
  <c r="K193" i="15"/>
  <c r="Y183" i="4"/>
  <c r="W183" i="4"/>
  <c r="X183" i="4" s="1"/>
  <c r="M183" i="4"/>
  <c r="Z183" i="4"/>
  <c r="AK192" i="15" l="1"/>
  <c r="AJ192" i="15"/>
  <c r="AL192" i="15"/>
  <c r="B193" i="15"/>
  <c r="AH192" i="15"/>
  <c r="D193" i="15" s="1"/>
  <c r="AA183" i="4"/>
  <c r="AB183" i="4" s="1"/>
  <c r="P183" i="4"/>
  <c r="N183" i="4"/>
  <c r="O193" i="15"/>
  <c r="R183" i="4"/>
  <c r="I193" i="15" l="1"/>
  <c r="U193" i="15"/>
  <c r="V193" i="15" s="1"/>
  <c r="L193" i="15"/>
  <c r="M193" i="15" s="1"/>
  <c r="Q183" i="4"/>
  <c r="S183" i="4" s="1"/>
  <c r="G183" i="4"/>
  <c r="H184" i="4"/>
  <c r="E193" i="15"/>
  <c r="AC183" i="4"/>
  <c r="F193" i="15" l="1"/>
  <c r="N193" i="15"/>
  <c r="P193" i="15"/>
  <c r="Y193" i="15"/>
  <c r="W193" i="15"/>
  <c r="K184" i="4"/>
  <c r="AI183" i="4"/>
  <c r="AJ183" i="4" s="1"/>
  <c r="AG183" i="4"/>
  <c r="C184" i="4" s="1"/>
  <c r="AD183" i="4"/>
  <c r="AE183" i="4" s="1"/>
  <c r="AF183" i="4"/>
  <c r="T183" i="4"/>
  <c r="R193" i="15"/>
  <c r="Z193" i="15"/>
  <c r="X193" i="15" l="1"/>
  <c r="AA193" i="15" s="1"/>
  <c r="AB193" i="15" s="1"/>
  <c r="Q193" i="15"/>
  <c r="S193" i="15" s="1"/>
  <c r="G193" i="15"/>
  <c r="AL184" i="4"/>
  <c r="B184" i="4"/>
  <c r="AH183" i="4"/>
  <c r="D184" i="4" s="1"/>
  <c r="AK184" i="4"/>
  <c r="AC193" i="15"/>
  <c r="H194" i="15"/>
  <c r="O185" i="4"/>
  <c r="J194" i="15" l="1"/>
  <c r="AI193" i="15"/>
  <c r="AG193" i="15"/>
  <c r="C194" i="15" s="1"/>
  <c r="AD193" i="15"/>
  <c r="AE193" i="15" s="1"/>
  <c r="AF193" i="15"/>
  <c r="T193" i="15"/>
  <c r="K194" i="15"/>
  <c r="I184" i="4"/>
  <c r="L184" i="4"/>
  <c r="U184" i="4" s="1"/>
  <c r="V184" i="4" s="1"/>
  <c r="E184" i="4"/>
  <c r="F184" i="4" l="1"/>
  <c r="AK193" i="15"/>
  <c r="AJ193" i="15"/>
  <c r="AL193" i="15"/>
  <c r="B194" i="15"/>
  <c r="AH193" i="15"/>
  <c r="D194" i="15" s="1"/>
  <c r="M184" i="4"/>
  <c r="W184" i="4"/>
  <c r="Y184" i="4"/>
  <c r="O194" i="15"/>
  <c r="Z184" i="4"/>
  <c r="X184" i="4" l="1"/>
  <c r="AA184" i="4" s="1"/>
  <c r="AB184" i="4" s="1"/>
  <c r="I194" i="15"/>
  <c r="L194" i="15"/>
  <c r="M194" i="15" s="1"/>
  <c r="U194" i="15"/>
  <c r="V194" i="15" s="1"/>
  <c r="N184" i="4"/>
  <c r="P184" i="4"/>
  <c r="R184" i="4"/>
  <c r="E194" i="15"/>
  <c r="F194" i="15" l="1"/>
  <c r="N194" i="15"/>
  <c r="P194" i="15"/>
  <c r="Y194" i="15"/>
  <c r="W194" i="15"/>
  <c r="X194" i="15" s="1"/>
  <c r="G184" i="4"/>
  <c r="Q184" i="4"/>
  <c r="S184" i="4" s="1"/>
  <c r="R194" i="15"/>
  <c r="H185" i="4"/>
  <c r="AC184" i="4"/>
  <c r="Z194" i="15"/>
  <c r="Q194" i="15" l="1"/>
  <c r="S194" i="15" s="1"/>
  <c r="AA194" i="15"/>
  <c r="AB194" i="15" s="1"/>
  <c r="G194" i="15"/>
  <c r="K185" i="4"/>
  <c r="AD184" i="4"/>
  <c r="AE184" i="4" s="1"/>
  <c r="AG184" i="4"/>
  <c r="C185" i="4" s="1"/>
  <c r="AI184" i="4"/>
  <c r="AJ184" i="4" s="1"/>
  <c r="AF184" i="4"/>
  <c r="T184" i="4"/>
  <c r="AC194" i="15"/>
  <c r="H195" i="15"/>
  <c r="J195" i="15" l="1"/>
  <c r="AI194" i="15"/>
  <c r="AD194" i="15"/>
  <c r="AE194" i="15" s="1"/>
  <c r="AF194" i="15"/>
  <c r="AG194" i="15"/>
  <c r="C195" i="15" s="1"/>
  <c r="K195" i="15"/>
  <c r="T194" i="15"/>
  <c r="B185" i="4"/>
  <c r="AH184" i="4"/>
  <c r="D185" i="4" s="1"/>
  <c r="AL185" i="4"/>
  <c r="AK185" i="4"/>
  <c r="O186" i="4"/>
  <c r="AL194" i="15" l="1"/>
  <c r="AK194" i="15"/>
  <c r="AJ194" i="15"/>
  <c r="AH194" i="15"/>
  <c r="D195" i="15" s="1"/>
  <c r="B195" i="15"/>
  <c r="I185" i="4"/>
  <c r="L185" i="4"/>
  <c r="U185" i="4" s="1"/>
  <c r="V185" i="4" s="1"/>
  <c r="E185" i="4"/>
  <c r="O195" i="15"/>
  <c r="F185" i="4" l="1"/>
  <c r="U195" i="15"/>
  <c r="V195" i="15" s="1"/>
  <c r="L195" i="15"/>
  <c r="M195" i="15" s="1"/>
  <c r="I195" i="15"/>
  <c r="Y185" i="4"/>
  <c r="W185" i="4"/>
  <c r="M185" i="4"/>
  <c r="Z185" i="4"/>
  <c r="E195" i="15"/>
  <c r="X185" i="4" l="1"/>
  <c r="AA185" i="4" s="1"/>
  <c r="AB185" i="4" s="1"/>
  <c r="F195" i="15"/>
  <c r="N195" i="15"/>
  <c r="Q195" i="15" s="1"/>
  <c r="P195" i="15"/>
  <c r="Y195" i="15"/>
  <c r="W195" i="15"/>
  <c r="X195" i="15" s="1"/>
  <c r="P185" i="4"/>
  <c r="N185" i="4"/>
  <c r="Z195" i="15"/>
  <c r="R195" i="15"/>
  <c r="R185" i="4"/>
  <c r="AA195" i="15" l="1"/>
  <c r="AB195" i="15" s="1"/>
  <c r="S195" i="15"/>
  <c r="G195" i="15"/>
  <c r="Q185" i="4"/>
  <c r="S185" i="4" s="1"/>
  <c r="G185" i="4"/>
  <c r="H186" i="4"/>
  <c r="AC185" i="4"/>
  <c r="H196" i="15"/>
  <c r="AC195" i="15"/>
  <c r="J196" i="15" l="1"/>
  <c r="AG195" i="15"/>
  <c r="C196" i="15" s="1"/>
  <c r="AI195" i="15"/>
  <c r="AF195" i="15"/>
  <c r="AD195" i="15"/>
  <c r="AE195" i="15" s="1"/>
  <c r="T195" i="15"/>
  <c r="K196" i="15"/>
  <c r="K186" i="4"/>
  <c r="AI185" i="4"/>
  <c r="AJ185" i="4" s="1"/>
  <c r="AD185" i="4"/>
  <c r="AE185" i="4" s="1"/>
  <c r="AG185" i="4"/>
  <c r="C186" i="4" s="1"/>
  <c r="AF185" i="4"/>
  <c r="T185" i="4"/>
  <c r="B196" i="15" l="1"/>
  <c r="AH195" i="15"/>
  <c r="D196" i="15" s="1"/>
  <c r="AK195" i="15"/>
  <c r="AL195" i="15"/>
  <c r="AJ195" i="15"/>
  <c r="AH185" i="4"/>
  <c r="D186" i="4" s="1"/>
  <c r="L186" i="4" s="1"/>
  <c r="U186" i="4" s="1"/>
  <c r="V186" i="4" s="1"/>
  <c r="AK186" i="4"/>
  <c r="AL186" i="4"/>
  <c r="B186" i="4"/>
  <c r="O196" i="15"/>
  <c r="O187" i="4"/>
  <c r="L196" i="15" l="1"/>
  <c r="M196" i="15" s="1"/>
  <c r="U196" i="15"/>
  <c r="V196" i="15" s="1"/>
  <c r="I196" i="15"/>
  <c r="M186" i="4"/>
  <c r="N186" i="4" s="1"/>
  <c r="I186" i="4"/>
  <c r="W186" i="4"/>
  <c r="Y186" i="4"/>
  <c r="E186" i="4"/>
  <c r="Z186" i="4"/>
  <c r="E196" i="15"/>
  <c r="F186" i="4" l="1"/>
  <c r="G186" i="4" s="1"/>
  <c r="P186" i="4"/>
  <c r="F196" i="15"/>
  <c r="W196" i="15"/>
  <c r="Y196" i="15"/>
  <c r="P196" i="15"/>
  <c r="N196" i="15"/>
  <c r="Q186" i="4"/>
  <c r="Z196" i="15"/>
  <c r="R196" i="15"/>
  <c r="R186" i="4"/>
  <c r="X186" i="4" l="1"/>
  <c r="AA186" i="4" s="1"/>
  <c r="AB186" i="4" s="1"/>
  <c r="X196" i="15"/>
  <c r="AA196" i="15" s="1"/>
  <c r="AB196" i="15" s="1"/>
  <c r="S186" i="4"/>
  <c r="T186" i="4" s="1"/>
  <c r="Q196" i="15"/>
  <c r="S196" i="15" s="1"/>
  <c r="G196" i="15"/>
  <c r="AC186" i="4"/>
  <c r="H187" i="4"/>
  <c r="AC196" i="15"/>
  <c r="H197" i="15"/>
  <c r="AI186" i="4" l="1"/>
  <c r="AJ186" i="4" s="1"/>
  <c r="AD186" i="4"/>
  <c r="AE186" i="4" s="1"/>
  <c r="AF186" i="4"/>
  <c r="B187" i="4" s="1"/>
  <c r="AG186" i="4"/>
  <c r="C187" i="4" s="1"/>
  <c r="K187" i="4"/>
  <c r="J197" i="15"/>
  <c r="AI196" i="15"/>
  <c r="AG196" i="15"/>
  <c r="C197" i="15" s="1"/>
  <c r="AF196" i="15"/>
  <c r="AD196" i="15"/>
  <c r="AE196" i="15" s="1"/>
  <c r="T196" i="15"/>
  <c r="K197" i="15"/>
  <c r="O188" i="4"/>
  <c r="AL187" i="4" l="1"/>
  <c r="AK187" i="4"/>
  <c r="AH186" i="4"/>
  <c r="D187" i="4" s="1"/>
  <c r="L187" i="4" s="1"/>
  <c r="U187" i="4" s="1"/>
  <c r="V187" i="4" s="1"/>
  <c r="I187" i="4"/>
  <c r="AH196" i="15"/>
  <c r="D197" i="15" s="1"/>
  <c r="B197" i="15"/>
  <c r="AL196" i="15"/>
  <c r="AK196" i="15"/>
  <c r="AJ196" i="15"/>
  <c r="E187" i="4"/>
  <c r="O197" i="15"/>
  <c r="F187" i="4" l="1"/>
  <c r="I197" i="15"/>
  <c r="U197" i="15"/>
  <c r="V197" i="15" s="1"/>
  <c r="L197" i="15"/>
  <c r="M197" i="15" s="1"/>
  <c r="M187" i="4"/>
  <c r="Y187" i="4"/>
  <c r="W187" i="4"/>
  <c r="Z187" i="4"/>
  <c r="E197" i="15"/>
  <c r="X187" i="4" l="1"/>
  <c r="AA187" i="4" s="1"/>
  <c r="AB187" i="4" s="1"/>
  <c r="F197" i="15"/>
  <c r="Y197" i="15"/>
  <c r="W197" i="15"/>
  <c r="P197" i="15"/>
  <c r="N197" i="15"/>
  <c r="N187" i="4"/>
  <c r="Q187" i="4" s="1"/>
  <c r="P187" i="4"/>
  <c r="Z197" i="15"/>
  <c r="R197" i="15"/>
  <c r="R187" i="4"/>
  <c r="X197" i="15" l="1"/>
  <c r="AA197" i="15" s="1"/>
  <c r="AB197" i="15" s="1"/>
  <c r="Q197" i="15"/>
  <c r="S197" i="15" s="1"/>
  <c r="G197" i="15"/>
  <c r="G187" i="4"/>
  <c r="S187" i="4"/>
  <c r="AC187" i="4"/>
  <c r="AC197" i="15"/>
  <c r="H188" i="4"/>
  <c r="H198" i="15"/>
  <c r="J198" i="15" l="1"/>
  <c r="AF197" i="15"/>
  <c r="AG197" i="15"/>
  <c r="C198" i="15" s="1"/>
  <c r="AI197" i="15"/>
  <c r="AD197" i="15"/>
  <c r="AE197" i="15" s="1"/>
  <c r="T197" i="15"/>
  <c r="K198" i="15"/>
  <c r="K188" i="4"/>
  <c r="AI187" i="4"/>
  <c r="AJ187" i="4" s="1"/>
  <c r="AG187" i="4"/>
  <c r="C188" i="4" s="1"/>
  <c r="AD187" i="4"/>
  <c r="AE187" i="4" s="1"/>
  <c r="AF187" i="4"/>
  <c r="T187" i="4"/>
  <c r="B198" i="15" l="1"/>
  <c r="AH197" i="15"/>
  <c r="D198" i="15" s="1"/>
  <c r="AK197" i="15"/>
  <c r="AJ197" i="15"/>
  <c r="AL197" i="15"/>
  <c r="AL188" i="4"/>
  <c r="AK188" i="4"/>
  <c r="B188" i="4"/>
  <c r="AH187" i="4"/>
  <c r="D188" i="4" s="1"/>
  <c r="O198" i="15"/>
  <c r="O189" i="4"/>
  <c r="L198" i="15" l="1"/>
  <c r="M198" i="15" s="1"/>
  <c r="U198" i="15"/>
  <c r="V198" i="15" s="1"/>
  <c r="I198" i="15"/>
  <c r="L188" i="4"/>
  <c r="U188" i="4" s="1"/>
  <c r="V188" i="4" s="1"/>
  <c r="I188" i="4"/>
  <c r="E198" i="15"/>
  <c r="E188" i="4"/>
  <c r="F188" i="4" l="1"/>
  <c r="F198" i="15"/>
  <c r="Y198" i="15"/>
  <c r="W198" i="15"/>
  <c r="N198" i="15"/>
  <c r="P198" i="15"/>
  <c r="W188" i="4"/>
  <c r="Y188" i="4"/>
  <c r="M188" i="4"/>
  <c r="R198" i="15"/>
  <c r="Z198" i="15"/>
  <c r="Z188" i="4"/>
  <c r="X188" i="4" l="1"/>
  <c r="AA188" i="4" s="1"/>
  <c r="AB188" i="4" s="1"/>
  <c r="X198" i="15"/>
  <c r="AA198" i="15" s="1"/>
  <c r="AB198" i="15" s="1"/>
  <c r="Q198" i="15"/>
  <c r="S198" i="15" s="1"/>
  <c r="G198" i="15"/>
  <c r="P188" i="4"/>
  <c r="N188" i="4"/>
  <c r="R188" i="4"/>
  <c r="H199" i="15"/>
  <c r="AC198" i="15"/>
  <c r="J199" i="15" l="1"/>
  <c r="AF198" i="15"/>
  <c r="AI198" i="15"/>
  <c r="AD198" i="15"/>
  <c r="AE198" i="15" s="1"/>
  <c r="AG198" i="15"/>
  <c r="C199" i="15" s="1"/>
  <c r="T198" i="15"/>
  <c r="K199" i="15"/>
  <c r="Q188" i="4"/>
  <c r="S188" i="4" s="1"/>
  <c r="G188" i="4"/>
  <c r="H189" i="4"/>
  <c r="AC188" i="4"/>
  <c r="AJ198" i="15" l="1"/>
  <c r="AK198" i="15"/>
  <c r="AL198" i="15"/>
  <c r="B199" i="15"/>
  <c r="AH198" i="15"/>
  <c r="D199" i="15" s="1"/>
  <c r="K189" i="4"/>
  <c r="AD188" i="4"/>
  <c r="AE188" i="4" s="1"/>
  <c r="AI188" i="4"/>
  <c r="AJ188" i="4" s="1"/>
  <c r="AG188" i="4"/>
  <c r="C189" i="4" s="1"/>
  <c r="AF188" i="4"/>
  <c r="T188" i="4"/>
  <c r="O199" i="15"/>
  <c r="I199" i="15" l="1"/>
  <c r="U199" i="15"/>
  <c r="V199" i="15" s="1"/>
  <c r="L199" i="15"/>
  <c r="M199" i="15" s="1"/>
  <c r="AH188" i="4"/>
  <c r="D189" i="4" s="1"/>
  <c r="L189" i="4" s="1"/>
  <c r="U189" i="4" s="1"/>
  <c r="V189" i="4" s="1"/>
  <c r="B189" i="4"/>
  <c r="AK189" i="4"/>
  <c r="AL189" i="4"/>
  <c r="O190" i="4"/>
  <c r="E199" i="15"/>
  <c r="W189" i="4" l="1"/>
  <c r="F199" i="15"/>
  <c r="N199" i="15"/>
  <c r="P199" i="15"/>
  <c r="Y199" i="15"/>
  <c r="W199" i="15"/>
  <c r="M189" i="4"/>
  <c r="N189" i="4" s="1"/>
  <c r="Y189" i="4"/>
  <c r="I189" i="4"/>
  <c r="Z199" i="15"/>
  <c r="R199" i="15"/>
  <c r="Z189" i="4"/>
  <c r="E189" i="4"/>
  <c r="F189" i="4" l="1"/>
  <c r="X189" i="4" s="1"/>
  <c r="AA189" i="4" s="1"/>
  <c r="AB189" i="4" s="1"/>
  <c r="X199" i="15"/>
  <c r="AA199" i="15" s="1"/>
  <c r="AB199" i="15" s="1"/>
  <c r="G199" i="15"/>
  <c r="Q199" i="15"/>
  <c r="S199" i="15" s="1"/>
  <c r="P189" i="4"/>
  <c r="Q189" i="4"/>
  <c r="R189" i="4"/>
  <c r="AC199" i="15"/>
  <c r="H200" i="15"/>
  <c r="G189" i="4" l="1"/>
  <c r="J200" i="15"/>
  <c r="AF199" i="15"/>
  <c r="AG199" i="15"/>
  <c r="C200" i="15" s="1"/>
  <c r="AI199" i="15"/>
  <c r="AD199" i="15"/>
  <c r="AE199" i="15" s="1"/>
  <c r="T199" i="15"/>
  <c r="K200" i="15"/>
  <c r="S189" i="4"/>
  <c r="T189" i="4" s="1"/>
  <c r="AC189" i="4"/>
  <c r="H190" i="4"/>
  <c r="AK199" i="15" l="1"/>
  <c r="AL199" i="15"/>
  <c r="AJ199" i="15"/>
  <c r="B200" i="15"/>
  <c r="AH199" i="15"/>
  <c r="D200" i="15" s="1"/>
  <c r="K190" i="4"/>
  <c r="AG189" i="4"/>
  <c r="C190" i="4" s="1"/>
  <c r="AD189" i="4"/>
  <c r="AE189" i="4" s="1"/>
  <c r="AF189" i="4"/>
  <c r="B190" i="4" s="1"/>
  <c r="AI189" i="4"/>
  <c r="AJ189" i="4" s="1"/>
  <c r="O200" i="15"/>
  <c r="O191" i="4"/>
  <c r="I200" i="15" l="1"/>
  <c r="L200" i="15"/>
  <c r="M200" i="15" s="1"/>
  <c r="U200" i="15"/>
  <c r="V200" i="15" s="1"/>
  <c r="AK190" i="4"/>
  <c r="AH189" i="4"/>
  <c r="D190" i="4" s="1"/>
  <c r="L190" i="4" s="1"/>
  <c r="U190" i="4" s="1"/>
  <c r="V190" i="4" s="1"/>
  <c r="AL190" i="4"/>
  <c r="I190" i="4"/>
  <c r="E190" i="4"/>
  <c r="E200" i="15"/>
  <c r="F190" i="4" l="1"/>
  <c r="F200" i="15"/>
  <c r="N200" i="15"/>
  <c r="P200" i="15"/>
  <c r="W200" i="15"/>
  <c r="Y200" i="15"/>
  <c r="M190" i="4"/>
  <c r="P190" i="4" s="1"/>
  <c r="Y190" i="4"/>
  <c r="W190" i="4"/>
  <c r="Z200" i="15"/>
  <c r="Z190" i="4"/>
  <c r="R200" i="15"/>
  <c r="R190" i="4"/>
  <c r="X190" i="4" l="1"/>
  <c r="AA190" i="4" s="1"/>
  <c r="AB190" i="4" s="1"/>
  <c r="X200" i="15"/>
  <c r="AA200" i="15" s="1"/>
  <c r="AB200" i="15" s="1"/>
  <c r="Q200" i="15"/>
  <c r="S200" i="15" s="1"/>
  <c r="G200" i="15"/>
  <c r="N190" i="4"/>
  <c r="Q190" i="4" s="1"/>
  <c r="S190" i="4" s="1"/>
  <c r="AC190" i="4"/>
  <c r="H201" i="15"/>
  <c r="H191" i="4"/>
  <c r="AC200" i="15"/>
  <c r="J201" i="15" l="1"/>
  <c r="AG200" i="15"/>
  <c r="C201" i="15" s="1"/>
  <c r="AI200" i="15"/>
  <c r="AD200" i="15"/>
  <c r="AE200" i="15" s="1"/>
  <c r="AF200" i="15"/>
  <c r="T200" i="15"/>
  <c r="K201" i="15"/>
  <c r="G190" i="4"/>
  <c r="AG190" i="4"/>
  <c r="C191" i="4" s="1"/>
  <c r="AI190" i="4"/>
  <c r="AJ190" i="4" s="1"/>
  <c r="AD190" i="4"/>
  <c r="AE190" i="4" s="1"/>
  <c r="AF190" i="4"/>
  <c r="K191" i="4"/>
  <c r="T190" i="4"/>
  <c r="AJ200" i="15" l="1"/>
  <c r="AK200" i="15"/>
  <c r="AL200" i="15"/>
  <c r="AH200" i="15"/>
  <c r="D201" i="15" s="1"/>
  <c r="B201" i="15"/>
  <c r="AL191" i="4"/>
  <c r="AK191" i="4"/>
  <c r="B191" i="4"/>
  <c r="AH190" i="4"/>
  <c r="D191" i="4" s="1"/>
  <c r="O201" i="15"/>
  <c r="O192" i="4"/>
  <c r="L201" i="15" l="1"/>
  <c r="M201" i="15" s="1"/>
  <c r="U201" i="15"/>
  <c r="V201" i="15" s="1"/>
  <c r="I201" i="15"/>
  <c r="L191" i="4"/>
  <c r="U191" i="4" s="1"/>
  <c r="V191" i="4" s="1"/>
  <c r="I191" i="4"/>
  <c r="E201" i="15"/>
  <c r="E191" i="4"/>
  <c r="F191" i="4" l="1"/>
  <c r="F201" i="15"/>
  <c r="Y201" i="15"/>
  <c r="W201" i="15"/>
  <c r="N201" i="15"/>
  <c r="P201" i="15"/>
  <c r="Y191" i="4"/>
  <c r="W191" i="4"/>
  <c r="M191" i="4"/>
  <c r="R201" i="15"/>
  <c r="Z201" i="15"/>
  <c r="Z191" i="4"/>
  <c r="X191" i="4" l="1"/>
  <c r="AA191" i="4" s="1"/>
  <c r="AB191" i="4" s="1"/>
  <c r="X201" i="15"/>
  <c r="AA201" i="15" s="1"/>
  <c r="AB201" i="15" s="1"/>
  <c r="Q201" i="15"/>
  <c r="S201" i="15" s="1"/>
  <c r="T201" i="15" s="1"/>
  <c r="G201" i="15"/>
  <c r="N191" i="4"/>
  <c r="P191" i="4"/>
  <c r="R191" i="4"/>
  <c r="AC201" i="15"/>
  <c r="H202" i="15"/>
  <c r="J202" i="15" l="1"/>
  <c r="AF201" i="15"/>
  <c r="AI201" i="15"/>
  <c r="AG201" i="15"/>
  <c r="C202" i="15" s="1"/>
  <c r="AD201" i="15"/>
  <c r="AE201" i="15" s="1"/>
  <c r="K202" i="15"/>
  <c r="Q191" i="4"/>
  <c r="S191" i="4" s="1"/>
  <c r="G191" i="4"/>
  <c r="H192" i="4"/>
  <c r="AC191" i="4"/>
  <c r="AJ201" i="15" l="1"/>
  <c r="AL201" i="15"/>
  <c r="AK201" i="15"/>
  <c r="B202" i="15"/>
  <c r="AH201" i="15"/>
  <c r="D202" i="15" s="1"/>
  <c r="K192" i="4"/>
  <c r="AD191" i="4"/>
  <c r="AE191" i="4" s="1"/>
  <c r="AI191" i="4"/>
  <c r="AJ191" i="4" s="1"/>
  <c r="AG191" i="4"/>
  <c r="C192" i="4" s="1"/>
  <c r="AF191" i="4"/>
  <c r="T191" i="4"/>
  <c r="O202" i="15"/>
  <c r="I202" i="15" l="1"/>
  <c r="U202" i="15"/>
  <c r="V202" i="15" s="1"/>
  <c r="L202" i="15"/>
  <c r="M202" i="15" s="1"/>
  <c r="AH191" i="4"/>
  <c r="D192" i="4" s="1"/>
  <c r="L192" i="4" s="1"/>
  <c r="U192" i="4" s="1"/>
  <c r="V192" i="4" s="1"/>
  <c r="AL192" i="4"/>
  <c r="AK192" i="4"/>
  <c r="B192" i="4"/>
  <c r="O193" i="4"/>
  <c r="E202" i="15"/>
  <c r="F202" i="15" l="1"/>
  <c r="N202" i="15"/>
  <c r="Q202" i="15" s="1"/>
  <c r="P202" i="15"/>
  <c r="Y202" i="15"/>
  <c r="W202" i="15"/>
  <c r="M192" i="4"/>
  <c r="P192" i="4" s="1"/>
  <c r="I192" i="4"/>
  <c r="Y192" i="4"/>
  <c r="W192" i="4"/>
  <c r="Z202" i="15"/>
  <c r="R202" i="15"/>
  <c r="R192" i="4"/>
  <c r="Z192" i="4"/>
  <c r="E192" i="4"/>
  <c r="X202" i="15" l="1"/>
  <c r="AA202" i="15" s="1"/>
  <c r="AB202" i="15" s="1"/>
  <c r="F192" i="4"/>
  <c r="X192" i="4" s="1"/>
  <c r="AA192" i="4" s="1"/>
  <c r="AB192" i="4" s="1"/>
  <c r="S202" i="15"/>
  <c r="G202" i="15"/>
  <c r="N192" i="4"/>
  <c r="AC202" i="15"/>
  <c r="H203" i="15"/>
  <c r="J203" i="15" l="1"/>
  <c r="AD202" i="15"/>
  <c r="AE202" i="15" s="1"/>
  <c r="AI202" i="15"/>
  <c r="AG202" i="15"/>
  <c r="C203" i="15" s="1"/>
  <c r="AF202" i="15"/>
  <c r="T202" i="15"/>
  <c r="K203" i="15"/>
  <c r="Q192" i="4"/>
  <c r="S192" i="4" s="1"/>
  <c r="G192" i="4"/>
  <c r="AC192" i="4"/>
  <c r="H193" i="4"/>
  <c r="AK202" i="15" l="1"/>
  <c r="AL202" i="15"/>
  <c r="AJ202" i="15"/>
  <c r="AH202" i="15"/>
  <c r="D203" i="15" s="1"/>
  <c r="B203" i="15"/>
  <c r="K193" i="4"/>
  <c r="AI192" i="4"/>
  <c r="AJ192" i="4" s="1"/>
  <c r="AD192" i="4"/>
  <c r="AE192" i="4" s="1"/>
  <c r="AF192" i="4"/>
  <c r="AG192" i="4"/>
  <c r="C193" i="4" s="1"/>
  <c r="T192" i="4"/>
  <c r="O203" i="15"/>
  <c r="AH192" i="4" l="1"/>
  <c r="D193" i="4" s="1"/>
  <c r="L193" i="4" s="1"/>
  <c r="U193" i="4" s="1"/>
  <c r="V193" i="4" s="1"/>
  <c r="U203" i="15"/>
  <c r="V203" i="15" s="1"/>
  <c r="L203" i="15"/>
  <c r="M203" i="15" s="1"/>
  <c r="I203" i="15"/>
  <c r="B193" i="4"/>
  <c r="I193" i="4" s="1"/>
  <c r="AL193" i="4"/>
  <c r="AK193" i="4"/>
  <c r="E203" i="15"/>
  <c r="O194" i="4"/>
  <c r="E193" i="4"/>
  <c r="F193" i="4" l="1"/>
  <c r="M193" i="4"/>
  <c r="N193" i="4" s="1"/>
  <c r="Q193" i="4" s="1"/>
  <c r="F203" i="15"/>
  <c r="P203" i="15"/>
  <c r="N203" i="15"/>
  <c r="Y203" i="15"/>
  <c r="W203" i="15"/>
  <c r="Y193" i="4"/>
  <c r="W193" i="4"/>
  <c r="R203" i="15"/>
  <c r="Z203" i="15"/>
  <c r="Z193" i="4"/>
  <c r="X203" i="15" l="1"/>
  <c r="AA203" i="15" s="1"/>
  <c r="AB203" i="15" s="1"/>
  <c r="X193" i="4"/>
  <c r="AA193" i="4" s="1"/>
  <c r="AB193" i="4" s="1"/>
  <c r="P193" i="4"/>
  <c r="Q203" i="15"/>
  <c r="S203" i="15" s="1"/>
  <c r="G203" i="15"/>
  <c r="G193" i="4"/>
  <c r="R193" i="4"/>
  <c r="H204" i="15"/>
  <c r="AC203" i="15"/>
  <c r="S193" i="4" l="1"/>
  <c r="T193" i="4" s="1"/>
  <c r="J204" i="15"/>
  <c r="AG203" i="15"/>
  <c r="C204" i="15" s="1"/>
  <c r="AF203" i="15"/>
  <c r="AD203" i="15"/>
  <c r="AE203" i="15" s="1"/>
  <c r="AI203" i="15"/>
  <c r="T203" i="15"/>
  <c r="K204" i="15"/>
  <c r="AC193" i="4"/>
  <c r="H194" i="4"/>
  <c r="AI193" i="4" l="1"/>
  <c r="AJ193" i="4" s="1"/>
  <c r="AD193" i="4"/>
  <c r="AE193" i="4" s="1"/>
  <c r="AG193" i="4"/>
  <c r="C194" i="4" s="1"/>
  <c r="AF193" i="4"/>
  <c r="K194" i="4"/>
  <c r="AH203" i="15"/>
  <c r="D204" i="15" s="1"/>
  <c r="B204" i="15"/>
  <c r="AK203" i="15"/>
  <c r="AJ203" i="15"/>
  <c r="AL203" i="15"/>
  <c r="O204" i="15"/>
  <c r="AK194" i="4" l="1"/>
  <c r="AL194" i="4"/>
  <c r="AH193" i="4"/>
  <c r="D194" i="4" s="1"/>
  <c r="L194" i="4" s="1"/>
  <c r="U194" i="4" s="1"/>
  <c r="V194" i="4" s="1"/>
  <c r="B194" i="4"/>
  <c r="I194" i="4" s="1"/>
  <c r="I204" i="15"/>
  <c r="L204" i="15"/>
  <c r="M204" i="15" s="1"/>
  <c r="U204" i="15"/>
  <c r="V204" i="15" s="1"/>
  <c r="O195" i="4"/>
  <c r="E194" i="4"/>
  <c r="E204" i="15"/>
  <c r="F194" i="4" l="1"/>
  <c r="F204" i="15"/>
  <c r="N204" i="15"/>
  <c r="P204" i="15"/>
  <c r="W204" i="15"/>
  <c r="Y204" i="15"/>
  <c r="M194" i="4"/>
  <c r="W194" i="4"/>
  <c r="Y194" i="4"/>
  <c r="R204" i="15"/>
  <c r="Z194" i="4"/>
  <c r="Z204" i="15"/>
  <c r="X194" i="4" l="1"/>
  <c r="AA194" i="4" s="1"/>
  <c r="AB194" i="4" s="1"/>
  <c r="X204" i="15"/>
  <c r="AA204" i="15" s="1"/>
  <c r="AB204" i="15" s="1"/>
  <c r="Q204" i="15"/>
  <c r="S204" i="15" s="1"/>
  <c r="G204" i="15"/>
  <c r="N194" i="4"/>
  <c r="P194" i="4"/>
  <c r="R194" i="4"/>
  <c r="H205" i="15"/>
  <c r="AC204" i="15"/>
  <c r="J205" i="15" l="1"/>
  <c r="AG204" i="15"/>
  <c r="C205" i="15" s="1"/>
  <c r="AF204" i="15"/>
  <c r="AI204" i="15"/>
  <c r="AD204" i="15"/>
  <c r="AE204" i="15" s="1"/>
  <c r="T204" i="15"/>
  <c r="K205" i="15"/>
  <c r="G194" i="4"/>
  <c r="Q194" i="4"/>
  <c r="S194" i="4" s="1"/>
  <c r="T194" i="4" s="1"/>
  <c r="AC194" i="4"/>
  <c r="H195" i="4"/>
  <c r="AJ204" i="15" l="1"/>
  <c r="AK204" i="15"/>
  <c r="AL204" i="15"/>
  <c r="AH204" i="15"/>
  <c r="D205" i="15" s="1"/>
  <c r="B205" i="15"/>
  <c r="K195" i="4"/>
  <c r="AD194" i="4"/>
  <c r="AE194" i="4" s="1"/>
  <c r="AG194" i="4"/>
  <c r="C195" i="4" s="1"/>
  <c r="AI194" i="4"/>
  <c r="AJ194" i="4" s="1"/>
  <c r="AF194" i="4"/>
  <c r="O205" i="15"/>
  <c r="L205" i="15" l="1"/>
  <c r="M205" i="15" s="1"/>
  <c r="U205" i="15"/>
  <c r="V205" i="15" s="1"/>
  <c r="I205" i="15"/>
  <c r="B195" i="4"/>
  <c r="AH194" i="4"/>
  <c r="D195" i="4" s="1"/>
  <c r="AK195" i="4"/>
  <c r="AL195" i="4"/>
  <c r="O196" i="4"/>
  <c r="E205" i="15"/>
  <c r="F205" i="15" l="1"/>
  <c r="W205" i="15"/>
  <c r="Y205" i="15"/>
  <c r="P205" i="15"/>
  <c r="N205" i="15"/>
  <c r="L195" i="4"/>
  <c r="U195" i="4" s="1"/>
  <c r="V195" i="4" s="1"/>
  <c r="I195" i="4"/>
  <c r="R205" i="15"/>
  <c r="Z205" i="15"/>
  <c r="E195" i="4"/>
  <c r="F195" i="4" l="1"/>
  <c r="X205" i="15"/>
  <c r="AA205" i="15" s="1"/>
  <c r="AB205" i="15" s="1"/>
  <c r="Q205" i="15"/>
  <c r="S205" i="15" s="1"/>
  <c r="G205" i="15"/>
  <c r="W195" i="4"/>
  <c r="Y195" i="4"/>
  <c r="M195" i="4"/>
  <c r="H206" i="15"/>
  <c r="Z195" i="4"/>
  <c r="AC205" i="15"/>
  <c r="X195" i="4" l="1"/>
  <c r="AA195" i="4" s="1"/>
  <c r="AB195" i="4" s="1"/>
  <c r="J206" i="15"/>
  <c r="AI205" i="15"/>
  <c r="AD205" i="15"/>
  <c r="AE205" i="15" s="1"/>
  <c r="AG205" i="15"/>
  <c r="C206" i="15" s="1"/>
  <c r="AF205" i="15"/>
  <c r="T205" i="15"/>
  <c r="K206" i="15"/>
  <c r="N195" i="4"/>
  <c r="Q195" i="4" s="1"/>
  <c r="P195" i="4"/>
  <c r="R195" i="4"/>
  <c r="AK205" i="15" l="1"/>
  <c r="AJ205" i="15"/>
  <c r="AL205" i="15"/>
  <c r="AH205" i="15"/>
  <c r="D206" i="15" s="1"/>
  <c r="B206" i="15"/>
  <c r="G195" i="4"/>
  <c r="S195" i="4"/>
  <c r="T195" i="4" s="1"/>
  <c r="AC195" i="4"/>
  <c r="H196" i="4"/>
  <c r="O206" i="15"/>
  <c r="L206" i="15" l="1"/>
  <c r="M206" i="15" s="1"/>
  <c r="U206" i="15"/>
  <c r="V206" i="15" s="1"/>
  <c r="I206" i="15"/>
  <c r="K196" i="4"/>
  <c r="AD195" i="4"/>
  <c r="AE195" i="4" s="1"/>
  <c r="AI195" i="4"/>
  <c r="AJ195" i="4" s="1"/>
  <c r="AG195" i="4"/>
  <c r="C196" i="4" s="1"/>
  <c r="AF195" i="4"/>
  <c r="E206" i="15"/>
  <c r="F206" i="15" l="1"/>
  <c r="W206" i="15"/>
  <c r="Y206" i="15"/>
  <c r="P206" i="15"/>
  <c r="N206" i="15"/>
  <c r="AH195" i="4"/>
  <c r="D196" i="4" s="1"/>
  <c r="L196" i="4" s="1"/>
  <c r="U196" i="4" s="1"/>
  <c r="V196" i="4" s="1"/>
  <c r="AL196" i="4"/>
  <c r="AK196" i="4"/>
  <c r="B196" i="4"/>
  <c r="R206" i="15"/>
  <c r="Z206" i="15"/>
  <c r="O197" i="4"/>
  <c r="X206" i="15" l="1"/>
  <c r="AA206" i="15" s="1"/>
  <c r="AB206" i="15" s="1"/>
  <c r="Q206" i="15"/>
  <c r="S206" i="15" s="1"/>
  <c r="G206" i="15"/>
  <c r="W196" i="4"/>
  <c r="Y196" i="4"/>
  <c r="I196" i="4"/>
  <c r="M196" i="4"/>
  <c r="H207" i="15"/>
  <c r="E196" i="4"/>
  <c r="Z196" i="4"/>
  <c r="AC206" i="15"/>
  <c r="F196" i="4" l="1"/>
  <c r="X196" i="4" s="1"/>
  <c r="AA196" i="4" s="1"/>
  <c r="AB196" i="4" s="1"/>
  <c r="J207" i="15"/>
  <c r="AG206" i="15"/>
  <c r="C207" i="15" s="1"/>
  <c r="AF206" i="15"/>
  <c r="AI206" i="15"/>
  <c r="AD206" i="15"/>
  <c r="AE206" i="15" s="1"/>
  <c r="T206" i="15"/>
  <c r="K207" i="15"/>
  <c r="P196" i="4"/>
  <c r="N196" i="4"/>
  <c r="R196" i="4"/>
  <c r="AL206" i="15" l="1"/>
  <c r="AJ206" i="15"/>
  <c r="AK206" i="15"/>
  <c r="AH206" i="15"/>
  <c r="D207" i="15" s="1"/>
  <c r="B207" i="15"/>
  <c r="Q196" i="4"/>
  <c r="S196" i="4" s="1"/>
  <c r="G196" i="4"/>
  <c r="H197" i="4"/>
  <c r="AC196" i="4"/>
  <c r="O207" i="15"/>
  <c r="U207" i="15" l="1"/>
  <c r="V207" i="15" s="1"/>
  <c r="L207" i="15"/>
  <c r="M207" i="15" s="1"/>
  <c r="I207" i="15"/>
  <c r="K197" i="4"/>
  <c r="AI196" i="4"/>
  <c r="AJ196" i="4" s="1"/>
  <c r="AD196" i="4"/>
  <c r="AE196" i="4" s="1"/>
  <c r="AG196" i="4"/>
  <c r="C197" i="4" s="1"/>
  <c r="AF196" i="4"/>
  <c r="T196" i="4"/>
  <c r="E207" i="15"/>
  <c r="F207" i="15" l="1"/>
  <c r="N207" i="15"/>
  <c r="P207" i="15"/>
  <c r="Y207" i="15"/>
  <c r="W207" i="15"/>
  <c r="X207" i="15" s="1"/>
  <c r="AH196" i="4"/>
  <c r="D197" i="4" s="1"/>
  <c r="L197" i="4" s="1"/>
  <c r="U197" i="4" s="1"/>
  <c r="B197" i="4"/>
  <c r="AL197" i="4"/>
  <c r="AK197" i="4"/>
  <c r="R207" i="15"/>
  <c r="Z207" i="15"/>
  <c r="O198" i="4"/>
  <c r="Q207" i="15" l="1"/>
  <c r="S207" i="15" s="1"/>
  <c r="AA207" i="15"/>
  <c r="AB207" i="15" s="1"/>
  <c r="G207" i="15"/>
  <c r="V197" i="4"/>
  <c r="W197" i="4" s="1"/>
  <c r="M197" i="4"/>
  <c r="P197" i="4" s="1"/>
  <c r="I197" i="4"/>
  <c r="E197" i="4"/>
  <c r="AC207" i="15"/>
  <c r="R197" i="4"/>
  <c r="H208" i="15"/>
  <c r="F197" i="4" l="1"/>
  <c r="X197" i="4" s="1"/>
  <c r="J208" i="15"/>
  <c r="AG207" i="15"/>
  <c r="C208" i="15" s="1"/>
  <c r="AF207" i="15"/>
  <c r="AD207" i="15"/>
  <c r="AE207" i="15" s="1"/>
  <c r="AI207" i="15"/>
  <c r="T207" i="15"/>
  <c r="K208" i="15"/>
  <c r="N197" i="4"/>
  <c r="Q197" i="4" s="1"/>
  <c r="S197" i="4" s="1"/>
  <c r="Y197" i="4"/>
  <c r="AC197" i="4"/>
  <c r="H198" i="4"/>
  <c r="Z197" i="4"/>
  <c r="G197" i="4" l="1"/>
  <c r="B208" i="15"/>
  <c r="AH207" i="15"/>
  <c r="D208" i="15" s="1"/>
  <c r="AJ207" i="15"/>
  <c r="AK207" i="15"/>
  <c r="AL207" i="15"/>
  <c r="AA197" i="4"/>
  <c r="AB197" i="4" s="1"/>
  <c r="AI197" i="4"/>
  <c r="AJ197" i="4" s="1"/>
  <c r="AD197" i="4"/>
  <c r="AE197" i="4" s="1"/>
  <c r="AG197" i="4"/>
  <c r="C198" i="4" s="1"/>
  <c r="AF197" i="4"/>
  <c r="K198" i="4"/>
  <c r="T197" i="4"/>
  <c r="O208" i="15"/>
  <c r="L208" i="15" l="1"/>
  <c r="M208" i="15" s="1"/>
  <c r="U208" i="15"/>
  <c r="V208" i="15" s="1"/>
  <c r="I208" i="15"/>
  <c r="AH197" i="4"/>
  <c r="D198" i="4" s="1"/>
  <c r="L198" i="4" s="1"/>
  <c r="AK198" i="4"/>
  <c r="B198" i="4"/>
  <c r="AL198" i="4"/>
  <c r="O199" i="4"/>
  <c r="E208" i="15"/>
  <c r="F208" i="15" l="1"/>
  <c r="Y208" i="15"/>
  <c r="W208" i="15"/>
  <c r="P208" i="15"/>
  <c r="N208" i="15"/>
  <c r="U198" i="4"/>
  <c r="V198" i="4" s="1"/>
  <c r="Y198" i="4" s="1"/>
  <c r="M198" i="4"/>
  <c r="N198" i="4" s="1"/>
  <c r="I198" i="4"/>
  <c r="Z208" i="15"/>
  <c r="R208" i="15"/>
  <c r="Z198" i="4"/>
  <c r="E198" i="4"/>
  <c r="F198" i="4" l="1"/>
  <c r="G198" i="4" s="1"/>
  <c r="X208" i="15"/>
  <c r="AA208" i="15" s="1"/>
  <c r="AB208" i="15" s="1"/>
  <c r="P198" i="4"/>
  <c r="Q208" i="15"/>
  <c r="S208" i="15" s="1"/>
  <c r="G208" i="15"/>
  <c r="C30" i="15" s="1"/>
  <c r="W198" i="4"/>
  <c r="Q198" i="4"/>
  <c r="R198" i="4"/>
  <c r="AC208" i="15"/>
  <c r="X198" i="4" l="1"/>
  <c r="AA198" i="4" s="1"/>
  <c r="AB198" i="4" s="1"/>
  <c r="S198" i="4"/>
  <c r="T198" i="4" s="1"/>
  <c r="AF208" i="15"/>
  <c r="AG208" i="15"/>
  <c r="AI208" i="15"/>
  <c r="AD208" i="15"/>
  <c r="AE208" i="15" s="1"/>
  <c r="T208" i="15"/>
  <c r="H199" i="4"/>
  <c r="AC198" i="4"/>
  <c r="AG198" i="4" l="1"/>
  <c r="C199" i="4" s="1"/>
  <c r="AD198" i="4"/>
  <c r="AE198" i="4" s="1"/>
  <c r="AF198" i="4"/>
  <c r="AI198" i="4"/>
  <c r="AJ198" i="4" s="1"/>
  <c r="K199" i="4"/>
  <c r="AH208" i="15"/>
  <c r="AL208" i="15"/>
  <c r="AJ208" i="15"/>
  <c r="C31" i="15" s="1"/>
  <c r="AK208" i="15"/>
  <c r="AH198" i="4" l="1"/>
  <c r="D199" i="4" s="1"/>
  <c r="L199" i="4" s="1"/>
  <c r="U199" i="4" s="1"/>
  <c r="V199" i="4" s="1"/>
  <c r="B199" i="4"/>
  <c r="I199" i="4" s="1"/>
  <c r="AK199" i="4"/>
  <c r="AL199" i="4"/>
  <c r="E199" i="4"/>
  <c r="O200" i="4"/>
  <c r="F199" i="4" l="1"/>
  <c r="Y199" i="4"/>
  <c r="W199" i="4"/>
  <c r="M199" i="4"/>
  <c r="P199" i="4" s="1"/>
  <c r="R199" i="4"/>
  <c r="Z199" i="4"/>
  <c r="X199" i="4" l="1"/>
  <c r="AA199" i="4" s="1"/>
  <c r="AB199" i="4" s="1"/>
  <c r="N199" i="4"/>
  <c r="G199" i="4" s="1"/>
  <c r="Q199" i="4" l="1"/>
  <c r="S199" i="4" s="1"/>
  <c r="H200" i="4"/>
  <c r="AC199" i="4"/>
  <c r="K200" i="4" l="1"/>
  <c r="AD199" i="4"/>
  <c r="AE199" i="4" s="1"/>
  <c r="AI199" i="4"/>
  <c r="AJ199" i="4" s="1"/>
  <c r="AF199" i="4"/>
  <c r="AG199" i="4"/>
  <c r="C200" i="4" s="1"/>
  <c r="T199" i="4"/>
  <c r="AK200" i="4" l="1"/>
  <c r="AH199" i="4"/>
  <c r="D200" i="4" s="1"/>
  <c r="L200" i="4" s="1"/>
  <c r="U200" i="4" s="1"/>
  <c r="V200" i="4" s="1"/>
  <c r="B200" i="4"/>
  <c r="AL200" i="4"/>
  <c r="O201" i="4"/>
  <c r="Y200" i="4" l="1"/>
  <c r="M200" i="4"/>
  <c r="N200" i="4" s="1"/>
  <c r="I200" i="4"/>
  <c r="W200" i="4"/>
  <c r="E200" i="4"/>
  <c r="Z200" i="4"/>
  <c r="F200" i="4" l="1"/>
  <c r="G200" i="4" s="1"/>
  <c r="Q200" i="4"/>
  <c r="P200" i="4"/>
  <c r="R200" i="4"/>
  <c r="X200" i="4" l="1"/>
  <c r="AA200" i="4" s="1"/>
  <c r="AB200" i="4" s="1"/>
  <c r="S200" i="4"/>
  <c r="T200" i="4" s="1"/>
  <c r="AC200" i="4"/>
  <c r="H201" i="4"/>
  <c r="AD200" i="4" l="1"/>
  <c r="AE200" i="4" s="1"/>
  <c r="AI200" i="4"/>
  <c r="AJ200" i="4" s="1"/>
  <c r="AG200" i="4"/>
  <c r="C201" i="4" s="1"/>
  <c r="AF200" i="4"/>
  <c r="B201" i="4" s="1"/>
  <c r="K201" i="4"/>
  <c r="O202" i="4"/>
  <c r="AL201" i="4" l="1"/>
  <c r="I201" i="4"/>
  <c r="AK201" i="4"/>
  <c r="AH200" i="4"/>
  <c r="D201" i="4" s="1"/>
  <c r="L201" i="4" s="1"/>
  <c r="U201" i="4" s="1"/>
  <c r="V201" i="4" s="1"/>
  <c r="Y201" i="4" s="1"/>
  <c r="E201" i="4"/>
  <c r="Z201" i="4"/>
  <c r="F201" i="4" l="1"/>
  <c r="M201" i="4"/>
  <c r="P201" i="4" s="1"/>
  <c r="W201" i="4"/>
  <c r="R201" i="4"/>
  <c r="X201" i="4" l="1"/>
  <c r="AA201" i="4" s="1"/>
  <c r="AB201" i="4" s="1"/>
  <c r="N201" i="4"/>
  <c r="G201" i="4" s="1"/>
  <c r="Q201" i="4" l="1"/>
  <c r="S201" i="4" s="1"/>
  <c r="T201" i="4" s="1"/>
  <c r="AC201" i="4"/>
  <c r="H202" i="4"/>
  <c r="AG201" i="4" l="1"/>
  <c r="C202" i="4" s="1"/>
  <c r="AI201" i="4"/>
  <c r="AJ201" i="4" s="1"/>
  <c r="AF201" i="4"/>
  <c r="B202" i="4" s="1"/>
  <c r="AD201" i="4"/>
  <c r="AE201" i="4" s="1"/>
  <c r="K202" i="4"/>
  <c r="O203" i="4"/>
  <c r="AK202" i="4" l="1"/>
  <c r="AH201" i="4"/>
  <c r="D202" i="4" s="1"/>
  <c r="L202" i="4" s="1"/>
  <c r="U202" i="4" s="1"/>
  <c r="V202" i="4" s="1"/>
  <c r="W202" i="4" s="1"/>
  <c r="I202" i="4"/>
  <c r="AL202" i="4"/>
  <c r="E202" i="4"/>
  <c r="F202" i="4" l="1"/>
  <c r="X202" i="4" s="1"/>
  <c r="Y202" i="4"/>
  <c r="M202" i="4"/>
  <c r="P202" i="4" s="1"/>
  <c r="Z202" i="4"/>
  <c r="R202" i="4"/>
  <c r="N202" i="4" l="1"/>
  <c r="Q202" i="4" s="1"/>
  <c r="S202" i="4" s="1"/>
  <c r="T202" i="4" s="1"/>
  <c r="AA202" i="4"/>
  <c r="AB202" i="4" s="1"/>
  <c r="H203" i="4"/>
  <c r="AC202" i="4"/>
  <c r="G202" i="4" l="1"/>
  <c r="AF202" i="4"/>
  <c r="B203" i="4" s="1"/>
  <c r="AI202" i="4"/>
  <c r="AJ202" i="4" s="1"/>
  <c r="AD202" i="4"/>
  <c r="AE202" i="4" s="1"/>
  <c r="AG202" i="4"/>
  <c r="C203" i="4" s="1"/>
  <c r="K203" i="4"/>
  <c r="O204" i="4"/>
  <c r="AK203" i="4" l="1"/>
  <c r="AL203" i="4"/>
  <c r="AH202" i="4"/>
  <c r="D203" i="4" s="1"/>
  <c r="L203" i="4" s="1"/>
  <c r="U203" i="4" s="1"/>
  <c r="V203" i="4" s="1"/>
  <c r="I203" i="4"/>
  <c r="E203" i="4"/>
  <c r="F203" i="4" l="1"/>
  <c r="W203" i="4"/>
  <c r="Y203" i="4"/>
  <c r="M203" i="4"/>
  <c r="Z203" i="4"/>
  <c r="X203" i="4" l="1"/>
  <c r="AA203" i="4" s="1"/>
  <c r="AB203" i="4" s="1"/>
  <c r="P203" i="4"/>
  <c r="N203" i="4"/>
  <c r="R203" i="4"/>
  <c r="Q203" i="4" l="1"/>
  <c r="S203" i="4" s="1"/>
  <c r="T203" i="4" s="1"/>
  <c r="G203" i="4"/>
  <c r="AC203" i="4"/>
  <c r="H204" i="4"/>
  <c r="K204" i="4" l="1"/>
  <c r="AI203" i="4"/>
  <c r="AJ203" i="4" s="1"/>
  <c r="AD203" i="4"/>
  <c r="AE203" i="4" s="1"/>
  <c r="AG203" i="4"/>
  <c r="C204" i="4" s="1"/>
  <c r="AF203" i="4"/>
  <c r="B204" i="4" l="1"/>
  <c r="AH203" i="4"/>
  <c r="D204" i="4" s="1"/>
  <c r="AL204" i="4"/>
  <c r="AK204" i="4"/>
  <c r="O205" i="4"/>
  <c r="I204" i="4" l="1"/>
  <c r="L204" i="4"/>
  <c r="U204" i="4" s="1"/>
  <c r="V204" i="4" s="1"/>
  <c r="E204" i="4"/>
  <c r="F204" i="4" l="1"/>
  <c r="Y204" i="4"/>
  <c r="W204" i="4"/>
  <c r="M204" i="4"/>
  <c r="Z204" i="4"/>
  <c r="X204" i="4" l="1"/>
  <c r="AA204" i="4" s="1"/>
  <c r="AB204" i="4" s="1"/>
  <c r="N204" i="4"/>
  <c r="P204" i="4"/>
  <c r="R204" i="4"/>
  <c r="G204" i="4" l="1"/>
  <c r="Q204" i="4"/>
  <c r="S204" i="4" s="1"/>
  <c r="T204" i="4" s="1"/>
  <c r="AC204" i="4"/>
  <c r="H205" i="4"/>
  <c r="K205" i="4" l="1"/>
  <c r="AD204" i="4"/>
  <c r="AE204" i="4" s="1"/>
  <c r="AI204" i="4"/>
  <c r="AJ204" i="4" s="1"/>
  <c r="AG204" i="4"/>
  <c r="C205" i="4" s="1"/>
  <c r="AF204" i="4"/>
  <c r="AH204" i="4" l="1"/>
  <c r="D205" i="4" s="1"/>
  <c r="L205" i="4" s="1"/>
  <c r="U205" i="4" s="1"/>
  <c r="V205" i="4" s="1"/>
  <c r="AK205" i="4"/>
  <c r="B205" i="4"/>
  <c r="AL205" i="4"/>
  <c r="O206" i="4"/>
  <c r="M205" i="4" l="1"/>
  <c r="N205" i="4" s="1"/>
  <c r="Y205" i="4"/>
  <c r="W205" i="4"/>
  <c r="I205" i="4"/>
  <c r="E205" i="4"/>
  <c r="Z205" i="4"/>
  <c r="F205" i="4" l="1"/>
  <c r="X205" i="4" s="1"/>
  <c r="AA205" i="4" s="1"/>
  <c r="AB205" i="4" s="1"/>
  <c r="P205" i="4"/>
  <c r="Q205" i="4"/>
  <c r="R205" i="4"/>
  <c r="G205" i="4" l="1"/>
  <c r="S205" i="4"/>
  <c r="AC205" i="4"/>
  <c r="H206" i="4"/>
  <c r="K206" i="4" l="1"/>
  <c r="AG205" i="4"/>
  <c r="C206" i="4" s="1"/>
  <c r="AD205" i="4"/>
  <c r="AE205" i="4" s="1"/>
  <c r="AI205" i="4"/>
  <c r="AJ205" i="4" s="1"/>
  <c r="AF205" i="4"/>
  <c r="B206" i="4" s="1"/>
  <c r="T205" i="4"/>
  <c r="O207" i="4"/>
  <c r="AK206" i="4" l="1"/>
  <c r="AL206" i="4"/>
  <c r="AH205" i="4"/>
  <c r="D206" i="4" s="1"/>
  <c r="I206" i="4"/>
  <c r="E206" i="4"/>
  <c r="F206" i="4" l="1"/>
  <c r="L206" i="4"/>
  <c r="U206" i="4" s="1"/>
  <c r="V206" i="4" s="1"/>
  <c r="M206" i="4" l="1"/>
  <c r="N206" i="4" s="1"/>
  <c r="W206" i="4"/>
  <c r="X206" i="4" s="1"/>
  <c r="Y206" i="4"/>
  <c r="Z206" i="4"/>
  <c r="P206" i="4" l="1"/>
  <c r="AA206" i="4"/>
  <c r="AB206" i="4" s="1"/>
  <c r="Q206" i="4"/>
  <c r="G206" i="4"/>
  <c r="R206" i="4"/>
  <c r="S206" i="4" l="1"/>
  <c r="H207" i="4"/>
  <c r="AC206" i="4"/>
  <c r="K207" i="4" l="1"/>
  <c r="AI206" i="4"/>
  <c r="AJ206" i="4" s="1"/>
  <c r="AF206" i="4"/>
  <c r="B207" i="4" s="1"/>
  <c r="AD206" i="4"/>
  <c r="AE206" i="4" s="1"/>
  <c r="AG206" i="4"/>
  <c r="C207" i="4" s="1"/>
  <c r="T206" i="4"/>
  <c r="O208" i="4"/>
  <c r="AL207" i="4" l="1"/>
  <c r="AK207" i="4"/>
  <c r="I207" i="4"/>
  <c r="AH206" i="4"/>
  <c r="D207" i="4" s="1"/>
  <c r="C32" i="4"/>
  <c r="E207" i="4"/>
  <c r="F207" i="4" l="1"/>
  <c r="L207" i="4"/>
  <c r="U207" i="4" s="1"/>
  <c r="V207" i="4" s="1"/>
  <c r="W207" i="4" l="1"/>
  <c r="X207" i="4" s="1"/>
  <c r="Y207" i="4"/>
  <c r="M207" i="4"/>
  <c r="Z207" i="4"/>
  <c r="N207" i="4" l="1"/>
  <c r="Q207" i="4" s="1"/>
  <c r="P207" i="4"/>
  <c r="AA207" i="4"/>
  <c r="AB207" i="4" s="1"/>
  <c r="R207" i="4"/>
  <c r="S207" i="4" l="1"/>
  <c r="T207" i="4" s="1"/>
  <c r="G207" i="4"/>
  <c r="AC207" i="4"/>
  <c r="H208" i="4"/>
  <c r="K208" i="4" l="1"/>
  <c r="AF207" i="4"/>
  <c r="B208" i="4" s="1"/>
  <c r="AI207" i="4"/>
  <c r="AJ207" i="4" s="1"/>
  <c r="AG207" i="4"/>
  <c r="C208" i="4" s="1"/>
  <c r="AD207" i="4"/>
  <c r="AE207" i="4" s="1"/>
  <c r="O209" i="4"/>
  <c r="I208" i="4" l="1"/>
  <c r="AK208" i="4"/>
  <c r="AL208" i="4"/>
  <c r="AH207" i="4"/>
  <c r="D208" i="4" s="1"/>
  <c r="E208" i="4"/>
  <c r="F208" i="4" l="1"/>
  <c r="L208" i="4"/>
  <c r="U208" i="4" s="1"/>
  <c r="V208" i="4" s="1"/>
  <c r="M208" i="4" l="1"/>
  <c r="P208" i="4" s="1"/>
  <c r="W208" i="4"/>
  <c r="X208" i="4" s="1"/>
  <c r="Y208" i="4"/>
  <c r="Z208" i="4"/>
  <c r="R208" i="4"/>
  <c r="N208" i="4" l="1"/>
  <c r="G208" i="4" s="1"/>
  <c r="AA208" i="4"/>
  <c r="AB208" i="4" s="1"/>
  <c r="Q208" i="4" l="1"/>
  <c r="S208" i="4" s="1"/>
  <c r="T208" i="4" s="1"/>
  <c r="H209" i="4"/>
  <c r="AC208" i="4"/>
  <c r="AG208" i="4" l="1"/>
  <c r="C209" i="4" s="1"/>
  <c r="AD208" i="4"/>
  <c r="AE208" i="4" s="1"/>
  <c r="AF208" i="4"/>
  <c r="B209" i="4" s="1"/>
  <c r="AI208" i="4"/>
  <c r="AJ208" i="4" s="1"/>
  <c r="K209" i="4"/>
  <c r="O210" i="4"/>
  <c r="I209" i="4" l="1"/>
  <c r="AH208" i="4"/>
  <c r="D209" i="4" s="1"/>
  <c r="L209" i="4" s="1"/>
  <c r="U209" i="4" s="1"/>
  <c r="V209" i="4" s="1"/>
  <c r="Y209" i="4" s="1"/>
  <c r="AK209" i="4"/>
  <c r="AL209" i="4"/>
  <c r="Z209" i="4"/>
  <c r="E209" i="4"/>
  <c r="F209" i="4" l="1"/>
  <c r="M209" i="4"/>
  <c r="P209" i="4" s="1"/>
  <c r="W209" i="4"/>
  <c r="R209" i="4"/>
  <c r="X209" i="4" l="1"/>
  <c r="AA209" i="4" s="1"/>
  <c r="AB209" i="4" s="1"/>
  <c r="N209" i="4"/>
  <c r="Q209" i="4" s="1"/>
  <c r="S209" i="4" s="1"/>
  <c r="AC209" i="4"/>
  <c r="H210" i="4"/>
  <c r="G209" i="4" l="1"/>
  <c r="K210" i="4"/>
  <c r="AF209" i="4"/>
  <c r="AD209" i="4"/>
  <c r="AE209" i="4" s="1"/>
  <c r="AI209" i="4"/>
  <c r="AJ209" i="4" s="1"/>
  <c r="AG209" i="4"/>
  <c r="C210" i="4" s="1"/>
  <c r="T209" i="4"/>
  <c r="B210" i="4" l="1"/>
  <c r="AH209" i="4"/>
  <c r="D210" i="4" s="1"/>
  <c r="AL210" i="4"/>
  <c r="AK210" i="4"/>
  <c r="O211" i="4"/>
  <c r="I210" i="4" l="1"/>
  <c r="L210" i="4"/>
  <c r="U210" i="4" s="1"/>
  <c r="V210" i="4" s="1"/>
  <c r="E210" i="4"/>
  <c r="F210" i="4" l="1"/>
  <c r="W210" i="4"/>
  <c r="Y210" i="4"/>
  <c r="M210" i="4"/>
  <c r="Z210" i="4"/>
  <c r="X210" i="4" l="1"/>
  <c r="AA210" i="4" s="1"/>
  <c r="AB210" i="4" s="1"/>
  <c r="N210" i="4"/>
  <c r="P210" i="4"/>
  <c r="R210" i="4"/>
  <c r="G210" i="4" l="1"/>
  <c r="Q210" i="4"/>
  <c r="S210" i="4" s="1"/>
  <c r="T210" i="4" s="1"/>
  <c r="AC210" i="4"/>
  <c r="H211" i="4"/>
  <c r="K211" i="4" l="1"/>
  <c r="AG210" i="4"/>
  <c r="C211" i="4" s="1"/>
  <c r="AF210" i="4"/>
  <c r="AD210" i="4"/>
  <c r="AE210" i="4" s="1"/>
  <c r="AI210" i="4"/>
  <c r="AJ210" i="4" s="1"/>
  <c r="AK211" i="4" l="1"/>
  <c r="AL211" i="4"/>
  <c r="B211" i="4"/>
  <c r="AH210" i="4"/>
  <c r="D211" i="4" s="1"/>
  <c r="O212" i="4"/>
  <c r="I211" i="4" l="1"/>
  <c r="L211" i="4"/>
  <c r="U211" i="4" s="1"/>
  <c r="V211" i="4" s="1"/>
  <c r="E211" i="4"/>
  <c r="F211" i="4" l="1"/>
  <c r="M211" i="4"/>
  <c r="P211" i="4" s="1"/>
  <c r="W211" i="4"/>
  <c r="Y211" i="4"/>
  <c r="Z211" i="4"/>
  <c r="R211" i="4"/>
  <c r="X211" i="4" l="1"/>
  <c r="AA211" i="4" s="1"/>
  <c r="AB211" i="4" s="1"/>
  <c r="N211" i="4"/>
  <c r="G211" i="4" s="1"/>
  <c r="Q211" i="4" l="1"/>
  <c r="S211" i="4" s="1"/>
  <c r="AC211" i="4"/>
  <c r="H212" i="4"/>
  <c r="K212" i="4" l="1"/>
  <c r="AD211" i="4"/>
  <c r="AE211" i="4" s="1"/>
  <c r="AI211" i="4"/>
  <c r="AJ211" i="4" s="1"/>
  <c r="AG211" i="4"/>
  <c r="C212" i="4" s="1"/>
  <c r="AF211" i="4"/>
  <c r="B212" i="4" s="1"/>
  <c r="T211" i="4"/>
  <c r="O213" i="4"/>
  <c r="AK212" i="4" l="1"/>
  <c r="AL212" i="4"/>
  <c r="I212" i="4"/>
  <c r="AH211" i="4"/>
  <c r="D212" i="4" s="1"/>
  <c r="L212" i="4" s="1"/>
  <c r="U212" i="4" s="1"/>
  <c r="V212" i="4" s="1"/>
  <c r="Y212" i="4" s="1"/>
  <c r="E212" i="4"/>
  <c r="Z212" i="4"/>
  <c r="F212" i="4" l="1"/>
  <c r="M212" i="4"/>
  <c r="P212" i="4" s="1"/>
  <c r="W212" i="4"/>
  <c r="R212" i="4"/>
  <c r="X212" i="4" l="1"/>
  <c r="AA212" i="4" s="1"/>
  <c r="AB212" i="4" s="1"/>
  <c r="N212" i="4"/>
  <c r="Q212" i="4" l="1"/>
  <c r="S212" i="4" s="1"/>
  <c r="G212" i="4"/>
  <c r="AC212" i="4"/>
  <c r="H213" i="4"/>
  <c r="K213" i="4" l="1"/>
  <c r="AD212" i="4"/>
  <c r="AE212" i="4" s="1"/>
  <c r="AI212" i="4"/>
  <c r="AJ212" i="4" s="1"/>
  <c r="AF212" i="4"/>
  <c r="AG212" i="4"/>
  <c r="C213" i="4" s="1"/>
  <c r="T212" i="4"/>
  <c r="B213" i="4" l="1"/>
  <c r="AH212" i="4"/>
  <c r="D213" i="4" s="1"/>
  <c r="L213" i="4" s="1"/>
  <c r="U213" i="4" s="1"/>
  <c r="V213" i="4" s="1"/>
  <c r="AK213" i="4"/>
  <c r="AL213" i="4"/>
  <c r="O214" i="4"/>
  <c r="Y213" i="4" l="1"/>
  <c r="I213" i="4"/>
  <c r="W213" i="4"/>
  <c r="M213" i="4"/>
  <c r="N213" i="4" s="1"/>
  <c r="Z213" i="4"/>
  <c r="E213" i="4"/>
  <c r="F213" i="4" l="1"/>
  <c r="X213" i="4" s="1"/>
  <c r="AA213" i="4" s="1"/>
  <c r="AB213" i="4" s="1"/>
  <c r="P213" i="4"/>
  <c r="Q213" i="4"/>
  <c r="R213" i="4"/>
  <c r="G213" i="4" l="1"/>
  <c r="S213" i="4"/>
  <c r="T213" i="4" s="1"/>
  <c r="AC213" i="4"/>
  <c r="H214" i="4"/>
  <c r="AG213" i="4" l="1"/>
  <c r="C214" i="4" s="1"/>
  <c r="AD213" i="4"/>
  <c r="AE213" i="4" s="1"/>
  <c r="AF213" i="4"/>
  <c r="B214" i="4" s="1"/>
  <c r="AI213" i="4"/>
  <c r="AJ213" i="4" s="1"/>
  <c r="K214" i="4"/>
  <c r="O215" i="4"/>
  <c r="AL214" i="4" l="1"/>
  <c r="AK214" i="4"/>
  <c r="AH213" i="4"/>
  <c r="D214" i="4" s="1"/>
  <c r="L214" i="4" s="1"/>
  <c r="U214" i="4" s="1"/>
  <c r="V214" i="4" s="1"/>
  <c r="I214" i="4"/>
  <c r="E214" i="4"/>
  <c r="F214" i="4" l="1"/>
  <c r="Y214" i="4"/>
  <c r="W214" i="4"/>
  <c r="M214" i="4"/>
  <c r="Z214" i="4"/>
  <c r="X214" i="4" l="1"/>
  <c r="AA214" i="4" s="1"/>
  <c r="AB214" i="4" s="1"/>
  <c r="N214" i="4"/>
  <c r="P214" i="4"/>
  <c r="R214" i="4"/>
  <c r="Q214" i="4" l="1"/>
  <c r="S214" i="4" s="1"/>
  <c r="G214" i="4"/>
  <c r="H215" i="4"/>
  <c r="AC214" i="4"/>
  <c r="K215" i="4" l="1"/>
  <c r="AD214" i="4"/>
  <c r="AE214" i="4" s="1"/>
  <c r="AI214" i="4"/>
  <c r="AJ214" i="4" s="1"/>
  <c r="AG214" i="4"/>
  <c r="C215" i="4" s="1"/>
  <c r="AF214" i="4"/>
  <c r="T214" i="4"/>
  <c r="AL215" i="4" l="1"/>
  <c r="B215" i="4"/>
  <c r="AH214" i="4"/>
  <c r="D215" i="4" s="1"/>
  <c r="AK215" i="4"/>
  <c r="O216" i="4"/>
  <c r="I215" i="4" l="1"/>
  <c r="L215" i="4"/>
  <c r="U215" i="4" s="1"/>
  <c r="V215" i="4" s="1"/>
  <c r="E215" i="4"/>
  <c r="F215" i="4" l="1"/>
  <c r="M215" i="4"/>
  <c r="P215" i="4" s="1"/>
  <c r="W215" i="4"/>
  <c r="Y215" i="4"/>
  <c r="R215" i="4"/>
  <c r="Z215" i="4"/>
  <c r="X215" i="4" l="1"/>
  <c r="AA215" i="4" s="1"/>
  <c r="AB215" i="4" s="1"/>
  <c r="N215" i="4"/>
  <c r="Q215" i="4" s="1"/>
  <c r="S215" i="4" s="1"/>
  <c r="H216" i="4"/>
  <c r="AC215" i="4"/>
  <c r="G215" i="4" l="1"/>
  <c r="K216" i="4"/>
  <c r="AD215" i="4"/>
  <c r="AE215" i="4" s="1"/>
  <c r="AI215" i="4"/>
  <c r="AJ215" i="4" s="1"/>
  <c r="AG215" i="4"/>
  <c r="C216" i="4" s="1"/>
  <c r="AF215" i="4"/>
  <c r="T215" i="4"/>
  <c r="AH215" i="4" l="1"/>
  <c r="D216" i="4" s="1"/>
  <c r="B216" i="4"/>
  <c r="AL216" i="4"/>
  <c r="AK216" i="4"/>
  <c r="O217" i="4"/>
  <c r="I216" i="4" l="1"/>
  <c r="L216" i="4"/>
  <c r="U216" i="4" s="1"/>
  <c r="V216" i="4" s="1"/>
  <c r="E216" i="4"/>
  <c r="F216" i="4" l="1"/>
  <c r="Y216" i="4"/>
  <c r="W216" i="4"/>
  <c r="M216" i="4"/>
  <c r="Z216" i="4"/>
  <c r="X216" i="4" l="1"/>
  <c r="AA216" i="4" s="1"/>
  <c r="AB216" i="4" s="1"/>
  <c r="P216" i="4"/>
  <c r="N216" i="4"/>
  <c r="R216" i="4"/>
  <c r="Q216" i="4" l="1"/>
  <c r="S216" i="4" s="1"/>
  <c r="G216" i="4"/>
  <c r="H217" i="4"/>
  <c r="AC216" i="4"/>
  <c r="K217" i="4" l="1"/>
  <c r="AD216" i="4"/>
  <c r="AE216" i="4" s="1"/>
  <c r="AI216" i="4"/>
  <c r="AJ216" i="4" s="1"/>
  <c r="AG216" i="4"/>
  <c r="C217" i="4" s="1"/>
  <c r="AF216" i="4"/>
  <c r="T216" i="4"/>
  <c r="B217" i="4" l="1"/>
  <c r="AH216" i="4"/>
  <c r="D217" i="4" s="1"/>
  <c r="AK217" i="4"/>
  <c r="AL217" i="4"/>
  <c r="O218" i="4"/>
  <c r="L217" i="4" l="1"/>
  <c r="U217" i="4" s="1"/>
  <c r="V217" i="4" s="1"/>
  <c r="I217" i="4"/>
  <c r="E217" i="4"/>
  <c r="F217" i="4" l="1"/>
  <c r="W217" i="4"/>
  <c r="Y217" i="4"/>
  <c r="M217" i="4"/>
  <c r="Z217" i="4"/>
  <c r="X217" i="4" l="1"/>
  <c r="AA217" i="4" s="1"/>
  <c r="AB217" i="4" s="1"/>
  <c r="N217" i="4"/>
  <c r="P217" i="4"/>
  <c r="R217" i="4"/>
  <c r="Q217" i="4" l="1"/>
  <c r="S217" i="4" s="1"/>
  <c r="G217" i="4"/>
  <c r="H218" i="4"/>
  <c r="AC217" i="4"/>
  <c r="K218" i="4" l="1"/>
  <c r="AD217" i="4"/>
  <c r="AE217" i="4" s="1"/>
  <c r="AI217" i="4"/>
  <c r="AJ217" i="4" s="1"/>
  <c r="AG217" i="4"/>
  <c r="C218" i="4" s="1"/>
  <c r="AF217" i="4"/>
  <c r="T217" i="4"/>
  <c r="AK218" i="4" l="1"/>
  <c r="B218" i="4"/>
  <c r="AH217" i="4"/>
  <c r="D218" i="4" s="1"/>
  <c r="AL218" i="4"/>
  <c r="O219" i="4"/>
  <c r="I218" i="4" l="1"/>
  <c r="L218" i="4"/>
  <c r="U218" i="4" s="1"/>
  <c r="V218" i="4" s="1"/>
  <c r="E218" i="4"/>
  <c r="F218" i="4" l="1"/>
  <c r="M218" i="4"/>
  <c r="N218" i="4" s="1"/>
  <c r="Q218" i="4" s="1"/>
  <c r="W218" i="4"/>
  <c r="Y218" i="4"/>
  <c r="Z218" i="4"/>
  <c r="X218" i="4" l="1"/>
  <c r="AA218" i="4" s="1"/>
  <c r="AB218" i="4" s="1"/>
  <c r="P218" i="4"/>
  <c r="G218" i="4"/>
  <c r="R218" i="4"/>
  <c r="S218" i="4" l="1"/>
  <c r="T218" i="4" s="1"/>
  <c r="H219" i="4"/>
  <c r="AC218" i="4"/>
  <c r="K219" i="4" l="1"/>
  <c r="AD218" i="4"/>
  <c r="AE218" i="4" s="1"/>
  <c r="AF218" i="4"/>
  <c r="B219" i="4" s="1"/>
  <c r="AG218" i="4"/>
  <c r="C219" i="4" s="1"/>
  <c r="AI218" i="4"/>
  <c r="AJ218" i="4" s="1"/>
  <c r="O220" i="4"/>
  <c r="I219" i="4" l="1"/>
  <c r="AL219" i="4"/>
  <c r="AH218" i="4"/>
  <c r="D219" i="4" s="1"/>
  <c r="L219" i="4" s="1"/>
  <c r="U219" i="4" s="1"/>
  <c r="V219" i="4" s="1"/>
  <c r="AK219" i="4"/>
  <c r="E219" i="4"/>
  <c r="F219" i="4" l="1"/>
  <c r="W219" i="4"/>
  <c r="Y219" i="4"/>
  <c r="M219" i="4"/>
  <c r="Z219" i="4"/>
  <c r="X219" i="4" l="1"/>
  <c r="AA219" i="4" s="1"/>
  <c r="AB219" i="4" s="1"/>
  <c r="P219" i="4"/>
  <c r="N219" i="4"/>
  <c r="R219" i="4"/>
  <c r="Q219" i="4" l="1"/>
  <c r="S219" i="4" s="1"/>
  <c r="G219" i="4"/>
  <c r="AC219" i="4"/>
  <c r="H220" i="4"/>
  <c r="K220" i="4" l="1"/>
  <c r="AI219" i="4"/>
  <c r="AJ219" i="4" s="1"/>
  <c r="AD219" i="4"/>
  <c r="AE219" i="4" s="1"/>
  <c r="AG219" i="4"/>
  <c r="C220" i="4" s="1"/>
  <c r="AF219" i="4"/>
  <c r="T219" i="4"/>
  <c r="AL220" i="4" l="1"/>
  <c r="B220" i="4"/>
  <c r="AH219" i="4"/>
  <c r="D220" i="4" s="1"/>
  <c r="AK220" i="4"/>
  <c r="O221" i="4"/>
  <c r="I220" i="4" l="1"/>
  <c r="L220" i="4"/>
  <c r="U220" i="4" s="1"/>
  <c r="V220" i="4" s="1"/>
  <c r="E220" i="4"/>
  <c r="F220" i="4" l="1"/>
  <c r="M220" i="4"/>
  <c r="P220" i="4" s="1"/>
  <c r="Y220" i="4"/>
  <c r="W220" i="4"/>
  <c r="R220" i="4"/>
  <c r="Z220" i="4"/>
  <c r="X220" i="4" l="1"/>
  <c r="AA220" i="4" s="1"/>
  <c r="AB220" i="4" s="1"/>
  <c r="N220" i="4"/>
  <c r="G220" i="4" s="1"/>
  <c r="Q220" i="4" l="1"/>
  <c r="S220" i="4" s="1"/>
  <c r="H221" i="4"/>
  <c r="AC220" i="4"/>
  <c r="K221" i="4" l="1"/>
  <c r="AG220" i="4"/>
  <c r="C221" i="4" s="1"/>
  <c r="AD220" i="4"/>
  <c r="AE220" i="4" s="1"/>
  <c r="AI220" i="4"/>
  <c r="AJ220" i="4" s="1"/>
  <c r="AF220" i="4"/>
  <c r="T220" i="4"/>
  <c r="AH220" i="4" l="1"/>
  <c r="D221" i="4" s="1"/>
  <c r="L221" i="4" s="1"/>
  <c r="M221" i="4" s="1"/>
  <c r="AK221" i="4"/>
  <c r="AL221" i="4"/>
  <c r="B221" i="4"/>
  <c r="I221" i="4" s="1"/>
  <c r="O222" i="4"/>
  <c r="E221" i="4"/>
  <c r="F221" i="4" l="1"/>
  <c r="U221" i="4"/>
  <c r="V221" i="4" s="1"/>
  <c r="Y221" i="4" s="1"/>
  <c r="P221" i="4"/>
  <c r="N221" i="4"/>
  <c r="Z221" i="4"/>
  <c r="R221" i="4"/>
  <c r="W221" i="4" l="1"/>
  <c r="X221" i="4" s="1"/>
  <c r="AA221" i="4" s="1"/>
  <c r="AB221" i="4" s="1"/>
  <c r="G221" i="4"/>
  <c r="Q221" i="4"/>
  <c r="S221" i="4" s="1"/>
  <c r="H222" i="4"/>
  <c r="AC221" i="4"/>
  <c r="AI221" i="4" l="1"/>
  <c r="AJ221" i="4" s="1"/>
  <c r="AD221" i="4"/>
  <c r="AE221" i="4" s="1"/>
  <c r="AG221" i="4"/>
  <c r="C222" i="4" s="1"/>
  <c r="AF221" i="4"/>
  <c r="K222" i="4"/>
  <c r="T221" i="4"/>
  <c r="AK222" i="4" l="1"/>
  <c r="AL222" i="4"/>
  <c r="B222" i="4"/>
  <c r="AH221" i="4"/>
  <c r="D222" i="4" s="1"/>
  <c r="O223" i="4"/>
  <c r="L222" i="4" l="1"/>
  <c r="U222" i="4" s="1"/>
  <c r="V222" i="4" s="1"/>
  <c r="I222" i="4"/>
  <c r="E222" i="4"/>
  <c r="F222" i="4" l="1"/>
  <c r="Y222" i="4"/>
  <c r="W222" i="4"/>
  <c r="M222" i="4"/>
  <c r="Z222" i="4"/>
  <c r="X222" i="4" l="1"/>
  <c r="AA222" i="4" s="1"/>
  <c r="AB222" i="4" s="1"/>
  <c r="N222" i="4"/>
  <c r="P222" i="4"/>
  <c r="R222" i="4"/>
  <c r="G222" i="4" l="1"/>
  <c r="Q222" i="4"/>
  <c r="S222" i="4" s="1"/>
  <c r="H223" i="4"/>
  <c r="AC222" i="4"/>
  <c r="K223" i="4" l="1"/>
  <c r="AI222" i="4"/>
  <c r="AJ222" i="4" s="1"/>
  <c r="AD222" i="4"/>
  <c r="AE222" i="4" s="1"/>
  <c r="AG222" i="4"/>
  <c r="C223" i="4" s="1"/>
  <c r="AF222" i="4"/>
  <c r="T222" i="4"/>
  <c r="AK223" i="4" l="1"/>
  <c r="B223" i="4"/>
  <c r="AH222" i="4"/>
  <c r="D223" i="4" s="1"/>
  <c r="AL223" i="4"/>
  <c r="O224" i="4"/>
  <c r="L223" i="4" l="1"/>
  <c r="U223" i="4" s="1"/>
  <c r="V223" i="4" s="1"/>
  <c r="I223" i="4"/>
  <c r="E223" i="4"/>
  <c r="F223" i="4" l="1"/>
  <c r="W223" i="4"/>
  <c r="Y223" i="4"/>
  <c r="M223" i="4"/>
  <c r="Z223" i="4"/>
  <c r="X223" i="4" l="1"/>
  <c r="AA223" i="4" s="1"/>
  <c r="AB223" i="4" s="1"/>
  <c r="P223" i="4"/>
  <c r="N223" i="4"/>
  <c r="Q223" i="4" s="1"/>
  <c r="R223" i="4"/>
  <c r="S223" i="4" l="1"/>
  <c r="G223" i="4"/>
  <c r="H224" i="4"/>
  <c r="AC223" i="4"/>
  <c r="K224" i="4" l="1"/>
  <c r="AI223" i="4"/>
  <c r="AJ223" i="4" s="1"/>
  <c r="AD223" i="4"/>
  <c r="AE223" i="4" s="1"/>
  <c r="AG223" i="4"/>
  <c r="C224" i="4" s="1"/>
  <c r="AF223" i="4"/>
  <c r="T223" i="4"/>
  <c r="AK224" i="4" l="1"/>
  <c r="AH223" i="4"/>
  <c r="D224" i="4" s="1"/>
  <c r="B224" i="4"/>
  <c r="AL224" i="4"/>
  <c r="O225" i="4"/>
  <c r="L224" i="4" l="1"/>
  <c r="U224" i="4" s="1"/>
  <c r="V224" i="4" s="1"/>
  <c r="I224" i="4"/>
  <c r="E224" i="4"/>
  <c r="F224" i="4" l="1"/>
  <c r="M224" i="4"/>
  <c r="P224" i="4" s="1"/>
  <c r="Y224" i="4"/>
  <c r="W224" i="4"/>
  <c r="Z224" i="4"/>
  <c r="R224" i="4"/>
  <c r="X224" i="4" l="1"/>
  <c r="AA224" i="4" s="1"/>
  <c r="AB224" i="4" s="1"/>
  <c r="N224" i="4"/>
  <c r="Q224" i="4" s="1"/>
  <c r="S224" i="4" s="1"/>
  <c r="AC224" i="4"/>
  <c r="H225" i="4"/>
  <c r="G224" i="4" l="1"/>
  <c r="K225" i="4"/>
  <c r="AD224" i="4"/>
  <c r="AE224" i="4" s="1"/>
  <c r="AI224" i="4"/>
  <c r="AJ224" i="4" s="1"/>
  <c r="AG224" i="4"/>
  <c r="C225" i="4" s="1"/>
  <c r="AF224" i="4"/>
  <c r="T224" i="4"/>
  <c r="B225" i="4" l="1"/>
  <c r="AH224" i="4"/>
  <c r="D225" i="4" s="1"/>
  <c r="AL225" i="4"/>
  <c r="AK225" i="4"/>
  <c r="O226" i="4"/>
  <c r="I225" i="4" l="1"/>
  <c r="L225" i="4"/>
  <c r="U225" i="4" s="1"/>
  <c r="V225" i="4" s="1"/>
  <c r="E225" i="4"/>
  <c r="F225" i="4" l="1"/>
  <c r="M225" i="4"/>
  <c r="N225" i="4" s="1"/>
  <c r="W225" i="4"/>
  <c r="Y225" i="4"/>
  <c r="Z225" i="4"/>
  <c r="X225" i="4" l="1"/>
  <c r="AA225" i="4" s="1"/>
  <c r="AB225" i="4" s="1"/>
  <c r="P225" i="4"/>
  <c r="Q225" i="4"/>
  <c r="G225" i="4"/>
  <c r="R225" i="4"/>
  <c r="S225" i="4" l="1"/>
  <c r="H226" i="4"/>
  <c r="AC225" i="4"/>
  <c r="K226" i="4" l="1"/>
  <c r="AG225" i="4"/>
  <c r="C226" i="4" s="1"/>
  <c r="AF225" i="4"/>
  <c r="AD225" i="4"/>
  <c r="AE225" i="4" s="1"/>
  <c r="AI225" i="4"/>
  <c r="AJ225" i="4" s="1"/>
  <c r="T225" i="4"/>
  <c r="AK226" i="4" l="1"/>
  <c r="AL226" i="4"/>
  <c r="AH225" i="4"/>
  <c r="D226" i="4" s="1"/>
  <c r="L226" i="4" s="1"/>
  <c r="U226" i="4" s="1"/>
  <c r="V226" i="4" s="1"/>
  <c r="B226" i="4"/>
  <c r="I226" i="4" s="1"/>
  <c r="O227" i="4"/>
  <c r="E226" i="4"/>
  <c r="F226" i="4" l="1"/>
  <c r="W226" i="4"/>
  <c r="Y226" i="4"/>
  <c r="M226" i="4"/>
  <c r="Z226" i="4"/>
  <c r="X226" i="4" l="1"/>
  <c r="AA226" i="4" s="1"/>
  <c r="AB226" i="4" s="1"/>
  <c r="P226" i="4"/>
  <c r="N226" i="4"/>
  <c r="R226" i="4"/>
  <c r="Q226" i="4" l="1"/>
  <c r="S226" i="4" s="1"/>
  <c r="G226" i="4"/>
  <c r="H227" i="4"/>
  <c r="AC226" i="4"/>
  <c r="K227" i="4" l="1"/>
  <c r="AG226" i="4"/>
  <c r="C227" i="4" s="1"/>
  <c r="AD226" i="4"/>
  <c r="AE226" i="4" s="1"/>
  <c r="AI226" i="4"/>
  <c r="AJ226" i="4" s="1"/>
  <c r="AF226" i="4"/>
  <c r="T226" i="4"/>
  <c r="AK227" i="4" l="1"/>
  <c r="B227" i="4"/>
  <c r="AH226" i="4"/>
  <c r="D227" i="4" s="1"/>
  <c r="AL227" i="4"/>
  <c r="O228" i="4"/>
  <c r="I227" i="4" l="1"/>
  <c r="L227" i="4"/>
  <c r="U227" i="4" s="1"/>
  <c r="V227" i="4" s="1"/>
  <c r="E227" i="4"/>
  <c r="F227" i="4" l="1"/>
  <c r="M227" i="4"/>
  <c r="P227" i="4" s="1"/>
  <c r="W227" i="4"/>
  <c r="Y227" i="4"/>
  <c r="Z227" i="4"/>
  <c r="R227" i="4"/>
  <c r="X227" i="4" l="1"/>
  <c r="AA227" i="4" s="1"/>
  <c r="AB227" i="4" s="1"/>
  <c r="N227" i="4"/>
  <c r="Q227" i="4" s="1"/>
  <c r="S227" i="4" s="1"/>
  <c r="H228" i="4"/>
  <c r="AC227" i="4"/>
  <c r="G227" i="4" l="1"/>
  <c r="AD227" i="4"/>
  <c r="AE227" i="4" s="1"/>
  <c r="AI227" i="4"/>
  <c r="AJ227" i="4" s="1"/>
  <c r="AG227" i="4"/>
  <c r="C228" i="4" s="1"/>
  <c r="AF227" i="4"/>
  <c r="K228" i="4"/>
  <c r="T227" i="4"/>
  <c r="AL228" i="4" l="1"/>
  <c r="AK228" i="4"/>
  <c r="B228" i="4"/>
  <c r="AH227" i="4"/>
  <c r="D228" i="4" s="1"/>
  <c r="O229" i="4"/>
  <c r="I228" i="4" l="1"/>
  <c r="L228" i="4"/>
  <c r="U228" i="4" s="1"/>
  <c r="V228" i="4" s="1"/>
  <c r="E228" i="4"/>
  <c r="F228" i="4" l="1"/>
  <c r="M228" i="4"/>
  <c r="P228" i="4" s="1"/>
  <c r="Y228" i="4"/>
  <c r="W228" i="4"/>
  <c r="Z228" i="4"/>
  <c r="R228" i="4"/>
  <c r="X228" i="4" l="1"/>
  <c r="AA228" i="4" s="1"/>
  <c r="AB228" i="4" s="1"/>
  <c r="N228" i="4"/>
  <c r="Q228" i="4" s="1"/>
  <c r="S228" i="4" s="1"/>
  <c r="H229" i="4"/>
  <c r="AC228" i="4"/>
  <c r="G228" i="4" l="1"/>
  <c r="K229" i="4"/>
  <c r="AD228" i="4"/>
  <c r="AE228" i="4" s="1"/>
  <c r="AI228" i="4"/>
  <c r="AJ228" i="4" s="1"/>
  <c r="AG228" i="4"/>
  <c r="C229" i="4" s="1"/>
  <c r="AF228" i="4"/>
  <c r="T228" i="4"/>
  <c r="AH228" i="4" l="1"/>
  <c r="D229" i="4" s="1"/>
  <c r="L229" i="4" s="1"/>
  <c r="U229" i="4" s="1"/>
  <c r="V229" i="4" s="1"/>
  <c r="AK229" i="4"/>
  <c r="B229" i="4"/>
  <c r="AL229" i="4"/>
  <c r="O230" i="4"/>
  <c r="W229" i="4" l="1"/>
  <c r="M229" i="4"/>
  <c r="N229" i="4" s="1"/>
  <c r="I229" i="4"/>
  <c r="Y229" i="4"/>
  <c r="Z229" i="4"/>
  <c r="E229" i="4"/>
  <c r="F229" i="4" l="1"/>
  <c r="X229" i="4" s="1"/>
  <c r="AA229" i="4" s="1"/>
  <c r="AB229" i="4" s="1"/>
  <c r="P229" i="4"/>
  <c r="Q229" i="4"/>
  <c r="R229" i="4"/>
  <c r="G229" i="4" l="1"/>
  <c r="S229" i="4"/>
  <c r="AC229" i="4"/>
  <c r="H230" i="4"/>
  <c r="K230" i="4" l="1"/>
  <c r="AD229" i="4"/>
  <c r="AE229" i="4" s="1"/>
  <c r="AF229" i="4"/>
  <c r="AG229" i="4"/>
  <c r="C230" i="4" s="1"/>
  <c r="AI229" i="4"/>
  <c r="AJ229" i="4" s="1"/>
  <c r="T229" i="4"/>
  <c r="AK230" i="4" l="1"/>
  <c r="AL230" i="4"/>
  <c r="AH229" i="4"/>
  <c r="D230" i="4" s="1"/>
  <c r="L230" i="4" s="1"/>
  <c r="U230" i="4" s="1"/>
  <c r="V230" i="4" s="1"/>
  <c r="B230" i="4"/>
  <c r="O231" i="4"/>
  <c r="I230" i="4" l="1"/>
  <c r="W230" i="4"/>
  <c r="Y230" i="4"/>
  <c r="M230" i="4"/>
  <c r="Z230" i="4"/>
  <c r="E230" i="4"/>
  <c r="F230" i="4" l="1"/>
  <c r="X230" i="4" s="1"/>
  <c r="AA230" i="4" s="1"/>
  <c r="AB230" i="4" s="1"/>
  <c r="N230" i="4"/>
  <c r="P230" i="4"/>
  <c r="R230" i="4"/>
  <c r="G230" i="4" l="1"/>
  <c r="Q230" i="4"/>
  <c r="S230" i="4" s="1"/>
  <c r="T230" i="4" s="1"/>
  <c r="H231" i="4"/>
  <c r="AC230" i="4"/>
  <c r="K231" i="4" l="1"/>
  <c r="AD230" i="4"/>
  <c r="AE230" i="4" s="1"/>
  <c r="AG230" i="4"/>
  <c r="C231" i="4" s="1"/>
  <c r="AI230" i="4"/>
  <c r="AJ230" i="4" s="1"/>
  <c r="AF230" i="4"/>
  <c r="AH230" i="4" l="1"/>
  <c r="D231" i="4" s="1"/>
  <c r="L231" i="4" s="1"/>
  <c r="U231" i="4" s="1"/>
  <c r="V231" i="4" s="1"/>
  <c r="AL231" i="4"/>
  <c r="AK231" i="4"/>
  <c r="B231" i="4"/>
  <c r="O232" i="4"/>
  <c r="Y231" i="4" l="1"/>
  <c r="M231" i="4"/>
  <c r="P231" i="4" s="1"/>
  <c r="I231" i="4"/>
  <c r="W231" i="4"/>
  <c r="E231" i="4"/>
  <c r="Z231" i="4"/>
  <c r="R231" i="4"/>
  <c r="F231" i="4" l="1"/>
  <c r="X231" i="4" s="1"/>
  <c r="AA231" i="4" s="1"/>
  <c r="AB231" i="4" s="1"/>
  <c r="N231" i="4"/>
  <c r="G231" i="4" l="1"/>
  <c r="Q231" i="4"/>
  <c r="S231" i="4" s="1"/>
  <c r="T231" i="4" s="1"/>
  <c r="AC231" i="4"/>
  <c r="H232" i="4"/>
  <c r="AD231" i="4" l="1"/>
  <c r="AE231" i="4" s="1"/>
  <c r="AI231" i="4"/>
  <c r="AJ231" i="4" s="1"/>
  <c r="AG231" i="4"/>
  <c r="C232" i="4" s="1"/>
  <c r="AF231" i="4"/>
  <c r="B232" i="4" s="1"/>
  <c r="K232" i="4"/>
  <c r="O233" i="4"/>
  <c r="AL232" i="4" l="1"/>
  <c r="AK232" i="4"/>
  <c r="AH231" i="4"/>
  <c r="D232" i="4" s="1"/>
  <c r="L232" i="4" s="1"/>
  <c r="U232" i="4" s="1"/>
  <c r="V232" i="4" s="1"/>
  <c r="I232" i="4"/>
  <c r="E232" i="4"/>
  <c r="F232" i="4" l="1"/>
  <c r="M232" i="4"/>
  <c r="P232" i="4" s="1"/>
  <c r="Y232" i="4"/>
  <c r="W232" i="4"/>
  <c r="Z232" i="4"/>
  <c r="R232" i="4"/>
  <c r="X232" i="4" l="1"/>
  <c r="AA232" i="4" s="1"/>
  <c r="AB232" i="4" s="1"/>
  <c r="N232" i="4"/>
  <c r="Q232" i="4" s="1"/>
  <c r="S232" i="4" s="1"/>
  <c r="H233" i="4"/>
  <c r="AC232" i="4"/>
  <c r="G232" i="4" l="1"/>
  <c r="AD232" i="4"/>
  <c r="AE232" i="4" s="1"/>
  <c r="AI232" i="4"/>
  <c r="AJ232" i="4" s="1"/>
  <c r="AG232" i="4"/>
  <c r="C233" i="4" s="1"/>
  <c r="AF232" i="4"/>
  <c r="K233" i="4"/>
  <c r="T232" i="4"/>
  <c r="AK233" i="4" l="1"/>
  <c r="AL233" i="4"/>
  <c r="B233" i="4"/>
  <c r="AH232" i="4"/>
  <c r="D233" i="4" s="1"/>
  <c r="O234" i="4"/>
  <c r="L233" i="4" l="1"/>
  <c r="U233" i="4" s="1"/>
  <c r="V233" i="4" s="1"/>
  <c r="I233" i="4"/>
  <c r="E233" i="4"/>
  <c r="F233" i="4" l="1"/>
  <c r="W233" i="4"/>
  <c r="Y233" i="4"/>
  <c r="M233" i="4"/>
  <c r="Z233" i="4"/>
  <c r="X233" i="4" l="1"/>
  <c r="AA233" i="4" s="1"/>
  <c r="AB233" i="4" s="1"/>
  <c r="N233" i="4"/>
  <c r="Q233" i="4" s="1"/>
  <c r="P233" i="4"/>
  <c r="R233" i="4"/>
  <c r="G233" i="4" l="1"/>
  <c r="S233" i="4"/>
  <c r="AC233" i="4"/>
  <c r="H234" i="4"/>
  <c r="K234" i="4" l="1"/>
  <c r="AI233" i="4"/>
  <c r="AJ233" i="4" s="1"/>
  <c r="AD233" i="4"/>
  <c r="AE233" i="4" s="1"/>
  <c r="AG233" i="4"/>
  <c r="C234" i="4" s="1"/>
  <c r="AF233" i="4"/>
  <c r="T233" i="4"/>
  <c r="AK234" i="4" l="1"/>
  <c r="B234" i="4"/>
  <c r="AH233" i="4"/>
  <c r="D234" i="4" s="1"/>
  <c r="AL234" i="4"/>
  <c r="O235" i="4"/>
  <c r="L234" i="4" l="1"/>
  <c r="U234" i="4" s="1"/>
  <c r="V234" i="4" s="1"/>
  <c r="I234" i="4"/>
  <c r="E234" i="4"/>
  <c r="F234" i="4" l="1"/>
  <c r="Y234" i="4"/>
  <c r="W234" i="4"/>
  <c r="M234" i="4"/>
  <c r="Z234" i="4"/>
  <c r="X234" i="4" l="1"/>
  <c r="AA234" i="4" s="1"/>
  <c r="AB234" i="4" s="1"/>
  <c r="N234" i="4"/>
  <c r="P234" i="4"/>
  <c r="R234" i="4"/>
  <c r="Q234" i="4" l="1"/>
  <c r="S234" i="4" s="1"/>
  <c r="G234" i="4"/>
  <c r="AC234" i="4"/>
  <c r="H235" i="4"/>
  <c r="K235" i="4" l="1"/>
  <c r="AI234" i="4"/>
  <c r="AJ234" i="4" s="1"/>
  <c r="AD234" i="4"/>
  <c r="AE234" i="4" s="1"/>
  <c r="AG234" i="4"/>
  <c r="C235" i="4" s="1"/>
  <c r="AF234" i="4"/>
  <c r="T234" i="4"/>
  <c r="B235" i="4" l="1"/>
  <c r="AH234" i="4"/>
  <c r="D235" i="4" s="1"/>
  <c r="AK235" i="4"/>
  <c r="AL235" i="4"/>
  <c r="O236" i="4"/>
  <c r="L235" i="4" l="1"/>
  <c r="U235" i="4" s="1"/>
  <c r="V235" i="4" s="1"/>
  <c r="I235" i="4"/>
  <c r="E235" i="4"/>
  <c r="F235" i="4" l="1"/>
  <c r="M235" i="4"/>
  <c r="N235" i="4" s="1"/>
  <c r="W235" i="4"/>
  <c r="Y235" i="4"/>
  <c r="Z235" i="4"/>
  <c r="X235" i="4" l="1"/>
  <c r="AA235" i="4" s="1"/>
  <c r="AB235" i="4" s="1"/>
  <c r="P235" i="4"/>
  <c r="Q235" i="4"/>
  <c r="G235" i="4"/>
  <c r="R235" i="4"/>
  <c r="S235" i="4" l="1"/>
  <c r="T235" i="4" s="1"/>
  <c r="H236" i="4"/>
  <c r="AC235" i="4"/>
  <c r="K236" i="4" l="1"/>
  <c r="AG235" i="4"/>
  <c r="C236" i="4" s="1"/>
  <c r="AI235" i="4"/>
  <c r="AJ235" i="4" s="1"/>
  <c r="AD235" i="4"/>
  <c r="AE235" i="4" s="1"/>
  <c r="AF235" i="4"/>
  <c r="AH235" i="4" l="1"/>
  <c r="D236" i="4" s="1"/>
  <c r="L236" i="4" s="1"/>
  <c r="U236" i="4" s="1"/>
  <c r="V236" i="4" s="1"/>
  <c r="AK236" i="4"/>
  <c r="B236" i="4"/>
  <c r="I236" i="4" s="1"/>
  <c r="AL236" i="4"/>
  <c r="O237" i="4"/>
  <c r="E236" i="4"/>
  <c r="F236" i="4" l="1"/>
  <c r="W236" i="4"/>
  <c r="Y236" i="4"/>
  <c r="M236" i="4"/>
  <c r="Z236" i="4"/>
  <c r="X236" i="4" l="1"/>
  <c r="AA236" i="4" s="1"/>
  <c r="AB236" i="4" s="1"/>
  <c r="N236" i="4"/>
  <c r="P236" i="4"/>
  <c r="R236" i="4"/>
  <c r="G236" i="4" l="1"/>
  <c r="Q236" i="4"/>
  <c r="S236" i="4" s="1"/>
  <c r="H237" i="4"/>
  <c r="AC236" i="4"/>
  <c r="K237" i="4" l="1"/>
  <c r="AG236" i="4"/>
  <c r="C237" i="4" s="1"/>
  <c r="AD236" i="4"/>
  <c r="AE236" i="4" s="1"/>
  <c r="AI236" i="4"/>
  <c r="AJ236" i="4" s="1"/>
  <c r="AF236" i="4"/>
  <c r="T236" i="4"/>
  <c r="AK237" i="4" l="1"/>
  <c r="B237" i="4"/>
  <c r="AH236" i="4"/>
  <c r="D237" i="4" s="1"/>
  <c r="AL237" i="4"/>
  <c r="O238" i="4"/>
  <c r="L237" i="4" l="1"/>
  <c r="U237" i="4" s="1"/>
  <c r="V237" i="4" s="1"/>
  <c r="I237" i="4"/>
  <c r="E237" i="4"/>
  <c r="F237" i="4" l="1"/>
  <c r="W237" i="4"/>
  <c r="Y237" i="4"/>
  <c r="M237" i="4"/>
  <c r="Z237" i="4"/>
  <c r="X237" i="4" l="1"/>
  <c r="AA237" i="4" s="1"/>
  <c r="AB237" i="4" s="1"/>
  <c r="N237" i="4"/>
  <c r="Q237" i="4" s="1"/>
  <c r="P237" i="4"/>
  <c r="R237" i="4"/>
  <c r="G237" i="4" l="1"/>
  <c r="S237" i="4"/>
  <c r="T237" i="4" s="1"/>
  <c r="AC237" i="4"/>
  <c r="H238" i="4"/>
  <c r="K238" i="4" l="1"/>
  <c r="AD237" i="4"/>
  <c r="AE237" i="4" s="1"/>
  <c r="AG237" i="4"/>
  <c r="C238" i="4" s="1"/>
  <c r="AI237" i="4"/>
  <c r="AJ237" i="4" s="1"/>
  <c r="AF237" i="4"/>
  <c r="AL238" i="4" l="1"/>
  <c r="B238" i="4"/>
  <c r="AH237" i="4"/>
  <c r="D238" i="4" s="1"/>
  <c r="AK238" i="4"/>
  <c r="O239" i="4"/>
  <c r="I238" i="4" l="1"/>
  <c r="L238" i="4"/>
  <c r="U238" i="4" s="1"/>
  <c r="V238" i="4" s="1"/>
  <c r="E238" i="4"/>
  <c r="F238" i="4" l="1"/>
  <c r="W238" i="4"/>
  <c r="Y238" i="4"/>
  <c r="M238" i="4"/>
  <c r="Z238" i="4"/>
  <c r="X238" i="4" l="1"/>
  <c r="AA238" i="4" s="1"/>
  <c r="AB238" i="4" s="1"/>
  <c r="P238" i="4"/>
  <c r="N238" i="4"/>
  <c r="R238" i="4"/>
  <c r="G238" i="4" l="1"/>
  <c r="Q238" i="4"/>
  <c r="S238" i="4" s="1"/>
  <c r="T238" i="4" s="1"/>
  <c r="AC238" i="4"/>
  <c r="H239" i="4"/>
  <c r="K239" i="4" l="1"/>
  <c r="AD238" i="4"/>
  <c r="AE238" i="4" s="1"/>
  <c r="AI238" i="4"/>
  <c r="AJ238" i="4" s="1"/>
  <c r="AG238" i="4"/>
  <c r="C239" i="4" s="1"/>
  <c r="AF238" i="4"/>
  <c r="AK239" i="4" l="1"/>
  <c r="B239" i="4"/>
  <c r="AH238" i="4"/>
  <c r="D239" i="4" s="1"/>
  <c r="AL239" i="4"/>
  <c r="O240" i="4"/>
  <c r="I239" i="4" l="1"/>
  <c r="L239" i="4"/>
  <c r="U239" i="4" s="1"/>
  <c r="V239" i="4" s="1"/>
  <c r="E239" i="4"/>
  <c r="F239" i="4" l="1"/>
  <c r="W239" i="4"/>
  <c r="Y239" i="4"/>
  <c r="M239" i="4"/>
  <c r="Z239" i="4"/>
  <c r="X239" i="4" l="1"/>
  <c r="AA239" i="4" s="1"/>
  <c r="AB239" i="4" s="1"/>
  <c r="P239" i="4"/>
  <c r="N239" i="4"/>
  <c r="Q239" i="4" s="1"/>
  <c r="R239" i="4"/>
  <c r="S239" i="4" l="1"/>
  <c r="T239" i="4" s="1"/>
  <c r="G239" i="4"/>
  <c r="AC239" i="4"/>
  <c r="H240" i="4"/>
  <c r="K240" i="4" l="1"/>
  <c r="AD239" i="4"/>
  <c r="AE239" i="4" s="1"/>
  <c r="AI239" i="4"/>
  <c r="AJ239" i="4" s="1"/>
  <c r="AG239" i="4"/>
  <c r="C240" i="4" s="1"/>
  <c r="AF239" i="4"/>
  <c r="AK240" i="4" l="1"/>
  <c r="B240" i="4"/>
  <c r="AH239" i="4"/>
  <c r="D240" i="4" s="1"/>
  <c r="AL240" i="4"/>
  <c r="O241" i="4"/>
  <c r="L240" i="4" l="1"/>
  <c r="U240" i="4" s="1"/>
  <c r="V240" i="4" s="1"/>
  <c r="I240" i="4"/>
  <c r="E240" i="4"/>
  <c r="F240" i="4" l="1"/>
  <c r="Y240" i="4"/>
  <c r="W240" i="4"/>
  <c r="M240" i="4"/>
  <c r="Z240" i="4"/>
  <c r="X240" i="4" l="1"/>
  <c r="AA240" i="4" s="1"/>
  <c r="AB240" i="4" s="1"/>
  <c r="N240" i="4"/>
  <c r="P240" i="4"/>
  <c r="R240" i="4"/>
  <c r="Q240" i="4" l="1"/>
  <c r="S240" i="4" s="1"/>
  <c r="G240" i="4"/>
  <c r="AC240" i="4"/>
  <c r="H241" i="4"/>
  <c r="K241" i="4" l="1"/>
  <c r="AI240" i="4"/>
  <c r="AJ240" i="4" s="1"/>
  <c r="AD240" i="4"/>
  <c r="AE240" i="4" s="1"/>
  <c r="AG240" i="4"/>
  <c r="C241" i="4" s="1"/>
  <c r="AF240" i="4"/>
  <c r="T240" i="4"/>
  <c r="AL241" i="4" l="1"/>
  <c r="AK241" i="4"/>
  <c r="B241" i="4"/>
  <c r="AH240" i="4"/>
  <c r="D241" i="4" s="1"/>
  <c r="O242" i="4"/>
  <c r="I241" i="4" l="1"/>
  <c r="L241" i="4"/>
  <c r="U241" i="4" s="1"/>
  <c r="V241" i="4" s="1"/>
  <c r="E241" i="4"/>
  <c r="F241" i="4" l="1"/>
  <c r="Y241" i="4"/>
  <c r="W241" i="4"/>
  <c r="M241" i="4"/>
  <c r="Z241" i="4"/>
  <c r="X241" i="4" l="1"/>
  <c r="AA241" i="4" s="1"/>
  <c r="AB241" i="4" s="1"/>
  <c r="P241" i="4"/>
  <c r="N241" i="4"/>
  <c r="Q241" i="4" s="1"/>
  <c r="R241" i="4"/>
  <c r="G241" i="4" l="1"/>
  <c r="S241" i="4"/>
  <c r="AC241" i="4"/>
  <c r="H242" i="4"/>
  <c r="K242" i="4" l="1"/>
  <c r="AI241" i="4"/>
  <c r="AJ241" i="4" s="1"/>
  <c r="AG241" i="4"/>
  <c r="C242" i="4" s="1"/>
  <c r="AD241" i="4"/>
  <c r="AE241" i="4" s="1"/>
  <c r="AF241" i="4"/>
  <c r="T241" i="4"/>
  <c r="AK242" i="4" l="1"/>
  <c r="B242" i="4"/>
  <c r="AH241" i="4"/>
  <c r="D242" i="4" s="1"/>
  <c r="AL242" i="4"/>
  <c r="O243" i="4"/>
  <c r="I242" i="4" l="1"/>
  <c r="L242" i="4"/>
  <c r="U242" i="4" s="1"/>
  <c r="V242" i="4" s="1"/>
  <c r="E242" i="4"/>
  <c r="F242" i="4" l="1"/>
  <c r="Y242" i="4"/>
  <c r="W242" i="4"/>
  <c r="M242" i="4"/>
  <c r="Z242" i="4"/>
  <c r="X242" i="4" l="1"/>
  <c r="AA242" i="4" s="1"/>
  <c r="AB242" i="4" s="1"/>
  <c r="P242" i="4"/>
  <c r="N242" i="4"/>
  <c r="Q242" i="4" s="1"/>
  <c r="R242" i="4"/>
  <c r="G242" i="4" l="1"/>
  <c r="S242" i="4"/>
  <c r="AC242" i="4"/>
  <c r="H243" i="4"/>
  <c r="K243" i="4" l="1"/>
  <c r="AD242" i="4"/>
  <c r="AE242" i="4" s="1"/>
  <c r="AI242" i="4"/>
  <c r="AJ242" i="4" s="1"/>
  <c r="AG242" i="4"/>
  <c r="C243" i="4" s="1"/>
  <c r="AF242" i="4"/>
  <c r="T242" i="4"/>
  <c r="AH242" i="4" l="1"/>
  <c r="D243" i="4" s="1"/>
  <c r="L243" i="4" s="1"/>
  <c r="U243" i="4" s="1"/>
  <c r="V243" i="4" s="1"/>
  <c r="AK243" i="4"/>
  <c r="AL243" i="4"/>
  <c r="B243" i="4"/>
  <c r="O244" i="4"/>
  <c r="M243" i="4" l="1"/>
  <c r="P243" i="4" s="1"/>
  <c r="I243" i="4"/>
  <c r="W243" i="4"/>
  <c r="Y243" i="4"/>
  <c r="R243" i="4"/>
  <c r="E243" i="4"/>
  <c r="Z243" i="4"/>
  <c r="F243" i="4" l="1"/>
  <c r="X243" i="4" s="1"/>
  <c r="AA243" i="4" s="1"/>
  <c r="AB243" i="4" s="1"/>
  <c r="N243" i="4"/>
  <c r="G243" i="4" l="1"/>
  <c r="Q243" i="4"/>
  <c r="S243" i="4" s="1"/>
  <c r="H244" i="4"/>
  <c r="AC243" i="4"/>
  <c r="AI243" i="4" l="1"/>
  <c r="AJ243" i="4" s="1"/>
  <c r="AF243" i="4"/>
  <c r="B244" i="4" s="1"/>
  <c r="AG243" i="4"/>
  <c r="C244" i="4" s="1"/>
  <c r="AD243" i="4"/>
  <c r="AE243" i="4" s="1"/>
  <c r="K244" i="4"/>
  <c r="T243" i="4"/>
  <c r="O245" i="4"/>
  <c r="AL244" i="4" l="1"/>
  <c r="AK244" i="4"/>
  <c r="AH243" i="4"/>
  <c r="D244" i="4" s="1"/>
  <c r="L244" i="4" s="1"/>
  <c r="U244" i="4" s="1"/>
  <c r="V244" i="4" s="1"/>
  <c r="I244" i="4"/>
  <c r="E244" i="4"/>
  <c r="F244" i="4" l="1"/>
  <c r="Y244" i="4"/>
  <c r="W244" i="4"/>
  <c r="M244" i="4"/>
  <c r="Z244" i="4"/>
  <c r="X244" i="4" l="1"/>
  <c r="AA244" i="4" s="1"/>
  <c r="AB244" i="4" s="1"/>
  <c r="P244" i="4"/>
  <c r="N244" i="4"/>
  <c r="Q244" i="4" s="1"/>
  <c r="R244" i="4"/>
  <c r="G244" i="4" l="1"/>
  <c r="S244" i="4"/>
  <c r="AC244" i="4"/>
  <c r="H245" i="4"/>
  <c r="K245" i="4" l="1"/>
  <c r="AD244" i="4"/>
  <c r="AE244" i="4" s="1"/>
  <c r="AI244" i="4"/>
  <c r="AJ244" i="4" s="1"/>
  <c r="AG244" i="4"/>
  <c r="C245" i="4" s="1"/>
  <c r="AF244" i="4"/>
  <c r="T244" i="4"/>
  <c r="B245" i="4" l="1"/>
  <c r="AH244" i="4"/>
  <c r="D245" i="4" s="1"/>
  <c r="AL245" i="4"/>
  <c r="AK245" i="4"/>
  <c r="O246" i="4"/>
  <c r="I245" i="4" l="1"/>
  <c r="L245" i="4"/>
  <c r="U245" i="4" s="1"/>
  <c r="V245" i="4" s="1"/>
  <c r="E245" i="4"/>
  <c r="F245" i="4" l="1"/>
  <c r="M245" i="4"/>
  <c r="N245" i="4" s="1"/>
  <c r="Y245" i="4"/>
  <c r="W245" i="4"/>
  <c r="Z245" i="4"/>
  <c r="X245" i="4" l="1"/>
  <c r="AA245" i="4" s="1"/>
  <c r="AB245" i="4" s="1"/>
  <c r="P245" i="4"/>
  <c r="G245" i="4"/>
  <c r="Q245" i="4"/>
  <c r="R245" i="4"/>
  <c r="S245" i="4" l="1"/>
  <c r="T245" i="4" s="1"/>
  <c r="AC245" i="4"/>
  <c r="H246" i="4"/>
  <c r="K246" i="4" l="1"/>
  <c r="AI245" i="4"/>
  <c r="AJ245" i="4" s="1"/>
  <c r="AF245" i="4"/>
  <c r="B246" i="4" s="1"/>
  <c r="AG245" i="4"/>
  <c r="C246" i="4" s="1"/>
  <c r="AD245" i="4"/>
  <c r="AE245" i="4" s="1"/>
  <c r="O247" i="4"/>
  <c r="AK246" i="4" l="1"/>
  <c r="AH245" i="4"/>
  <c r="D246" i="4" s="1"/>
  <c r="L246" i="4" s="1"/>
  <c r="U246" i="4" s="1"/>
  <c r="V246" i="4" s="1"/>
  <c r="AL246" i="4"/>
  <c r="I246" i="4"/>
  <c r="E246" i="4"/>
  <c r="F246" i="4" l="1"/>
  <c r="W246" i="4"/>
  <c r="Y246" i="4"/>
  <c r="M246" i="4"/>
  <c r="Z246" i="4"/>
  <c r="X246" i="4" l="1"/>
  <c r="AA246" i="4" s="1"/>
  <c r="AB246" i="4" s="1"/>
  <c r="N246" i="4"/>
  <c r="P246" i="4"/>
  <c r="R246" i="4"/>
  <c r="G246" i="4" l="1"/>
  <c r="Q246" i="4"/>
  <c r="S246" i="4" s="1"/>
  <c r="AC246" i="4"/>
  <c r="H247" i="4"/>
  <c r="K247" i="4" l="1"/>
  <c r="AI246" i="4"/>
  <c r="AJ246" i="4" s="1"/>
  <c r="AD246" i="4"/>
  <c r="AE246" i="4" s="1"/>
  <c r="AG246" i="4"/>
  <c r="C247" i="4" s="1"/>
  <c r="AF246" i="4"/>
  <c r="T246" i="4"/>
  <c r="AL247" i="4" l="1"/>
  <c r="AK247" i="4"/>
  <c r="B247" i="4"/>
  <c r="AH246" i="4"/>
  <c r="D247" i="4" s="1"/>
  <c r="O248" i="4"/>
  <c r="L247" i="4" l="1"/>
  <c r="U247" i="4" s="1"/>
  <c r="V247" i="4" s="1"/>
  <c r="I247" i="4"/>
  <c r="E247" i="4"/>
  <c r="F247" i="4" l="1"/>
  <c r="Y247" i="4"/>
  <c r="W247" i="4"/>
  <c r="M247" i="4"/>
  <c r="Z247" i="4"/>
  <c r="X247" i="4" l="1"/>
  <c r="AA247" i="4" s="1"/>
  <c r="AB247" i="4" s="1"/>
  <c r="N247" i="4"/>
  <c r="P247" i="4"/>
  <c r="R247" i="4"/>
  <c r="G247" i="4" l="1"/>
  <c r="Q247" i="4"/>
  <c r="S247" i="4" s="1"/>
  <c r="H248" i="4"/>
  <c r="AC247" i="4"/>
  <c r="K248" i="4" l="1"/>
  <c r="AI247" i="4"/>
  <c r="AJ247" i="4" s="1"/>
  <c r="AD247" i="4"/>
  <c r="AE247" i="4" s="1"/>
  <c r="AG247" i="4"/>
  <c r="C248" i="4" s="1"/>
  <c r="AF247" i="4"/>
  <c r="T247" i="4"/>
  <c r="AK248" i="4" l="1"/>
  <c r="B248" i="4"/>
  <c r="AH247" i="4"/>
  <c r="D248" i="4" s="1"/>
  <c r="AL248" i="4"/>
  <c r="O249" i="4"/>
  <c r="I248" i="4" l="1"/>
  <c r="L248" i="4"/>
  <c r="U248" i="4" s="1"/>
  <c r="V248" i="4" s="1"/>
  <c r="E248" i="4"/>
  <c r="F248" i="4" l="1"/>
  <c r="M248" i="4"/>
  <c r="N248" i="4" s="1"/>
  <c r="Y248" i="4"/>
  <c r="W248" i="4"/>
  <c r="Z248" i="4"/>
  <c r="X248" i="4" l="1"/>
  <c r="AA248" i="4" s="1"/>
  <c r="AB248" i="4" s="1"/>
  <c r="P248" i="4"/>
  <c r="G248" i="4"/>
  <c r="Q248" i="4"/>
  <c r="R248" i="4"/>
  <c r="S248" i="4" l="1"/>
  <c r="H249" i="4"/>
  <c r="AC248" i="4"/>
  <c r="K249" i="4" l="1"/>
  <c r="AI248" i="4"/>
  <c r="AJ248" i="4" s="1"/>
  <c r="AD248" i="4"/>
  <c r="AE248" i="4" s="1"/>
  <c r="AF248" i="4"/>
  <c r="B249" i="4" s="1"/>
  <c r="AG248" i="4"/>
  <c r="C249" i="4" s="1"/>
  <c r="T248" i="4"/>
  <c r="O250" i="4"/>
  <c r="AH248" i="4" l="1"/>
  <c r="D249" i="4" s="1"/>
  <c r="L249" i="4" s="1"/>
  <c r="U249" i="4" s="1"/>
  <c r="V249" i="4" s="1"/>
  <c r="AL249" i="4"/>
  <c r="AK249" i="4"/>
  <c r="I249" i="4"/>
  <c r="E249" i="4"/>
  <c r="F249" i="4" l="1"/>
  <c r="W249" i="4"/>
  <c r="Y249" i="4"/>
  <c r="M249" i="4"/>
  <c r="Z249" i="4"/>
  <c r="X249" i="4" l="1"/>
  <c r="AA249" i="4" s="1"/>
  <c r="AB249" i="4" s="1"/>
  <c r="P249" i="4"/>
  <c r="N249" i="4"/>
  <c r="Q249" i="4" s="1"/>
  <c r="R249" i="4"/>
  <c r="G249" i="4" l="1"/>
  <c r="S249" i="4"/>
  <c r="AC249" i="4"/>
  <c r="H250" i="4"/>
  <c r="K250" i="4" l="1"/>
  <c r="AD249" i="4"/>
  <c r="AE249" i="4" s="1"/>
  <c r="AI249" i="4"/>
  <c r="AJ249" i="4" s="1"/>
  <c r="AG249" i="4"/>
  <c r="C250" i="4" s="1"/>
  <c r="AF249" i="4"/>
  <c r="T249" i="4"/>
  <c r="B250" i="4" l="1"/>
  <c r="AH249" i="4"/>
  <c r="D250" i="4" s="1"/>
  <c r="AL250" i="4"/>
  <c r="AK250" i="4"/>
  <c r="O251" i="4"/>
  <c r="I250" i="4" l="1"/>
  <c r="L250" i="4"/>
  <c r="U250" i="4" s="1"/>
  <c r="V250" i="4" s="1"/>
  <c r="E250" i="4"/>
  <c r="F250" i="4" l="1"/>
  <c r="W250" i="4"/>
  <c r="Y250" i="4"/>
  <c r="M250" i="4"/>
  <c r="Z250" i="4"/>
  <c r="X250" i="4" l="1"/>
  <c r="AA250" i="4" s="1"/>
  <c r="AB250" i="4" s="1"/>
  <c r="N250" i="4"/>
  <c r="P250" i="4"/>
  <c r="R250" i="4"/>
  <c r="G250" i="4" l="1"/>
  <c r="Q250" i="4"/>
  <c r="S250" i="4" s="1"/>
  <c r="H251" i="4"/>
  <c r="AC250" i="4"/>
  <c r="K251" i="4" l="1"/>
  <c r="AD250" i="4"/>
  <c r="AE250" i="4" s="1"/>
  <c r="AI250" i="4"/>
  <c r="AJ250" i="4" s="1"/>
  <c r="AG250" i="4"/>
  <c r="C251" i="4" s="1"/>
  <c r="AF250" i="4"/>
  <c r="T250" i="4"/>
  <c r="AL251" i="4" l="1"/>
  <c r="B251" i="4"/>
  <c r="AH250" i="4"/>
  <c r="D251" i="4" s="1"/>
  <c r="AK251" i="4"/>
  <c r="O252" i="4"/>
  <c r="I251" i="4" l="1"/>
  <c r="L251" i="4"/>
  <c r="U251" i="4" s="1"/>
  <c r="V251" i="4" s="1"/>
  <c r="E251" i="4"/>
  <c r="F251" i="4" l="1"/>
  <c r="Y251" i="4"/>
  <c r="W251" i="4"/>
  <c r="M251" i="4"/>
  <c r="Z251" i="4"/>
  <c r="X251" i="4" l="1"/>
  <c r="AA251" i="4" s="1"/>
  <c r="AB251" i="4" s="1"/>
  <c r="P251" i="4"/>
  <c r="N251" i="4"/>
  <c r="Q251" i="4" s="1"/>
  <c r="R251" i="4"/>
  <c r="S251" i="4" l="1"/>
  <c r="G251" i="4"/>
  <c r="H252" i="4"/>
  <c r="AC251" i="4"/>
  <c r="K252" i="4" l="1"/>
  <c r="AI251" i="4"/>
  <c r="AJ251" i="4" s="1"/>
  <c r="AG251" i="4"/>
  <c r="C252" i="4" s="1"/>
  <c r="AD251" i="4"/>
  <c r="AE251" i="4" s="1"/>
  <c r="AF251" i="4"/>
  <c r="T251" i="4"/>
  <c r="AH251" i="4" l="1"/>
  <c r="D252" i="4" s="1"/>
  <c r="L252" i="4" s="1"/>
  <c r="U252" i="4" s="1"/>
  <c r="V252" i="4" s="1"/>
  <c r="B252" i="4"/>
  <c r="AL252" i="4"/>
  <c r="AK252" i="4"/>
  <c r="O253" i="4"/>
  <c r="W252" i="4" l="1"/>
  <c r="Y252" i="4"/>
  <c r="M252" i="4"/>
  <c r="P252" i="4" s="1"/>
  <c r="I252" i="4"/>
  <c r="E252" i="4"/>
  <c r="R252" i="4"/>
  <c r="Z252" i="4"/>
  <c r="F252" i="4" l="1"/>
  <c r="X252" i="4" s="1"/>
  <c r="AA252" i="4" s="1"/>
  <c r="AB252" i="4" s="1"/>
  <c r="N252" i="4"/>
  <c r="Q252" i="4" s="1"/>
  <c r="S252" i="4" s="1"/>
  <c r="H253" i="4"/>
  <c r="AC252" i="4"/>
  <c r="G252" i="4" l="1"/>
  <c r="K253" i="4"/>
  <c r="AG252" i="4"/>
  <c r="C253" i="4" s="1"/>
  <c r="AD252" i="4"/>
  <c r="AE252" i="4" s="1"/>
  <c r="AI252" i="4"/>
  <c r="AJ252" i="4" s="1"/>
  <c r="AF252" i="4"/>
  <c r="T252" i="4"/>
  <c r="AH252" i="4" l="1"/>
  <c r="D253" i="4" s="1"/>
  <c r="L253" i="4" s="1"/>
  <c r="U253" i="4" s="1"/>
  <c r="V253" i="4" s="1"/>
  <c r="AK253" i="4"/>
  <c r="AL253" i="4"/>
  <c r="B253" i="4"/>
  <c r="O254" i="4"/>
  <c r="W253" i="4" l="1"/>
  <c r="M253" i="4"/>
  <c r="N253" i="4" s="1"/>
  <c r="I253" i="4"/>
  <c r="Y253" i="4"/>
  <c r="E253" i="4"/>
  <c r="Z253" i="4"/>
  <c r="F253" i="4" l="1"/>
  <c r="X253" i="4" s="1"/>
  <c r="AA253" i="4" s="1"/>
  <c r="AB253" i="4" s="1"/>
  <c r="P253" i="4"/>
  <c r="Q253" i="4"/>
  <c r="R253" i="4"/>
  <c r="G253" i="4" l="1"/>
  <c r="S253" i="4"/>
  <c r="H254" i="4"/>
  <c r="AC253" i="4"/>
  <c r="K254" i="4" l="1"/>
  <c r="AG253" i="4"/>
  <c r="C254" i="4" s="1"/>
  <c r="AF253" i="4"/>
  <c r="B254" i="4" s="1"/>
  <c r="AI253" i="4"/>
  <c r="AJ253" i="4" s="1"/>
  <c r="AD253" i="4"/>
  <c r="AE253" i="4" s="1"/>
  <c r="T253" i="4"/>
  <c r="O255" i="4"/>
  <c r="AH253" i="4" l="1"/>
  <c r="D254" i="4" s="1"/>
  <c r="L254" i="4" s="1"/>
  <c r="U254" i="4" s="1"/>
  <c r="V254" i="4" s="1"/>
  <c r="AL254" i="4"/>
  <c r="AK254" i="4"/>
  <c r="I254" i="4"/>
  <c r="E254" i="4"/>
  <c r="F254" i="4" l="1"/>
  <c r="Y254" i="4"/>
  <c r="W254" i="4"/>
  <c r="M254" i="4"/>
  <c r="Z254" i="4"/>
  <c r="X254" i="4" l="1"/>
  <c r="AA254" i="4" s="1"/>
  <c r="AB254" i="4" s="1"/>
  <c r="P254" i="4"/>
  <c r="N254" i="4"/>
  <c r="Q254" i="4" s="1"/>
  <c r="R254" i="4"/>
  <c r="S254" i="4" l="1"/>
  <c r="G254" i="4"/>
  <c r="H255" i="4"/>
  <c r="AC254" i="4"/>
  <c r="K255" i="4" l="1"/>
  <c r="AD254" i="4"/>
  <c r="AE254" i="4" s="1"/>
  <c r="AI254" i="4"/>
  <c r="AJ254" i="4" s="1"/>
  <c r="AG254" i="4"/>
  <c r="C255" i="4" s="1"/>
  <c r="AF254" i="4"/>
  <c r="T254" i="4"/>
  <c r="AL255" i="4" l="1"/>
  <c r="AK255" i="4"/>
  <c r="B255" i="4"/>
  <c r="AH254" i="4"/>
  <c r="D255" i="4" s="1"/>
  <c r="O256" i="4"/>
  <c r="L255" i="4" l="1"/>
  <c r="U255" i="4" s="1"/>
  <c r="V255" i="4" s="1"/>
  <c r="I255" i="4"/>
  <c r="E255" i="4"/>
  <c r="F255" i="4" l="1"/>
  <c r="W255" i="4"/>
  <c r="Y255" i="4"/>
  <c r="M255" i="4"/>
  <c r="Z255" i="4"/>
  <c r="X255" i="4" l="1"/>
  <c r="AA255" i="4" s="1"/>
  <c r="AB255" i="4" s="1"/>
  <c r="P255" i="4"/>
  <c r="N255" i="4"/>
  <c r="Q255" i="4" s="1"/>
  <c r="R255" i="4"/>
  <c r="G255" i="4" l="1"/>
  <c r="S255" i="4"/>
  <c r="H256" i="4"/>
  <c r="AC255" i="4"/>
  <c r="K256" i="4" l="1"/>
  <c r="AI255" i="4"/>
  <c r="AJ255" i="4" s="1"/>
  <c r="AD255" i="4"/>
  <c r="AE255" i="4" s="1"/>
  <c r="AG255" i="4"/>
  <c r="C256" i="4" s="1"/>
  <c r="AF255" i="4"/>
  <c r="T255" i="4"/>
  <c r="B256" i="4" l="1"/>
  <c r="AH255" i="4"/>
  <c r="D256" i="4" s="1"/>
  <c r="AL256" i="4"/>
  <c r="AK256" i="4"/>
  <c r="O257" i="4"/>
  <c r="L256" i="4" l="1"/>
  <c r="U256" i="4" s="1"/>
  <c r="V256" i="4" s="1"/>
  <c r="I256" i="4"/>
  <c r="E256" i="4"/>
  <c r="F256" i="4" l="1"/>
  <c r="W256" i="4"/>
  <c r="Y256" i="4"/>
  <c r="M256" i="4"/>
  <c r="Z256" i="4"/>
  <c r="X256" i="4" l="1"/>
  <c r="AA256" i="4" s="1"/>
  <c r="AB256" i="4" s="1"/>
  <c r="P256" i="4"/>
  <c r="N256" i="4"/>
  <c r="R256" i="4"/>
  <c r="Q256" i="4" l="1"/>
  <c r="S256" i="4" s="1"/>
  <c r="G256" i="4"/>
  <c r="AC256" i="4"/>
  <c r="H257" i="4"/>
  <c r="K257" i="4" l="1"/>
  <c r="AI256" i="4"/>
  <c r="AJ256" i="4" s="1"/>
  <c r="AD256" i="4"/>
  <c r="AE256" i="4" s="1"/>
  <c r="AG256" i="4"/>
  <c r="C257" i="4" s="1"/>
  <c r="AF256" i="4"/>
  <c r="T256" i="4"/>
  <c r="AH256" i="4" l="1"/>
  <c r="D257" i="4" s="1"/>
  <c r="L257" i="4" s="1"/>
  <c r="U257" i="4" s="1"/>
  <c r="V257" i="4" s="1"/>
  <c r="AL257" i="4"/>
  <c r="AK257" i="4"/>
  <c r="B257" i="4"/>
  <c r="O258" i="4"/>
  <c r="W257" i="4" l="1"/>
  <c r="M257" i="4"/>
  <c r="N257" i="4" s="1"/>
  <c r="I257" i="4"/>
  <c r="Y257" i="4"/>
  <c r="E257" i="4"/>
  <c r="Z257" i="4"/>
  <c r="F257" i="4" l="1"/>
  <c r="G257" i="4" s="1"/>
  <c r="P257" i="4"/>
  <c r="Q257" i="4"/>
  <c r="R257" i="4"/>
  <c r="X257" i="4" l="1"/>
  <c r="AA257" i="4" s="1"/>
  <c r="AB257" i="4" s="1"/>
  <c r="S257" i="4"/>
  <c r="AC257" i="4"/>
  <c r="H258" i="4"/>
  <c r="AF257" i="4" l="1"/>
  <c r="B258" i="4" s="1"/>
  <c r="AG257" i="4"/>
  <c r="C258" i="4" s="1"/>
  <c r="AD257" i="4"/>
  <c r="AE257" i="4" s="1"/>
  <c r="AI257" i="4"/>
  <c r="AJ257" i="4" s="1"/>
  <c r="K258" i="4"/>
  <c r="T257" i="4"/>
  <c r="O259" i="4"/>
  <c r="AK258" i="4" l="1"/>
  <c r="AH257" i="4"/>
  <c r="D258" i="4" s="1"/>
  <c r="L258" i="4" s="1"/>
  <c r="U258" i="4" s="1"/>
  <c r="V258" i="4" s="1"/>
  <c r="AL258" i="4"/>
  <c r="I258" i="4"/>
  <c r="E258" i="4"/>
  <c r="F258" i="4" l="1"/>
  <c r="W258" i="4"/>
  <c r="Y258" i="4"/>
  <c r="M258" i="4"/>
  <c r="Z258" i="4"/>
  <c r="X258" i="4" l="1"/>
  <c r="AA258" i="4" s="1"/>
  <c r="AB258" i="4" s="1"/>
  <c r="P258" i="4"/>
  <c r="N258" i="4"/>
  <c r="Q258" i="4" s="1"/>
  <c r="R258" i="4"/>
  <c r="S258" i="4" l="1"/>
  <c r="G258" i="4"/>
  <c r="H259" i="4"/>
  <c r="AC258" i="4"/>
  <c r="K259" i="4" l="1"/>
  <c r="AI258" i="4"/>
  <c r="AJ258" i="4" s="1"/>
  <c r="AD258" i="4"/>
  <c r="AE258" i="4" s="1"/>
  <c r="AG258" i="4"/>
  <c r="C259" i="4" s="1"/>
  <c r="AF258" i="4"/>
  <c r="T258" i="4"/>
  <c r="AK259" i="4" l="1"/>
  <c r="AL259" i="4"/>
  <c r="B259" i="4"/>
  <c r="AH258" i="4"/>
  <c r="D259" i="4" s="1"/>
  <c r="O260" i="4"/>
  <c r="I259" i="4" l="1"/>
  <c r="L259" i="4"/>
  <c r="U259" i="4" s="1"/>
  <c r="V259" i="4" s="1"/>
  <c r="E259" i="4"/>
  <c r="F259" i="4" l="1"/>
  <c r="Y259" i="4"/>
  <c r="W259" i="4"/>
  <c r="M259" i="4"/>
  <c r="Z259" i="4"/>
  <c r="X259" i="4" l="1"/>
  <c r="AA259" i="4" s="1"/>
  <c r="AB259" i="4" s="1"/>
  <c r="N259" i="4"/>
  <c r="Q259" i="4" s="1"/>
  <c r="P259" i="4"/>
  <c r="R259" i="4"/>
  <c r="G259" i="4" l="1"/>
  <c r="S259" i="4"/>
  <c r="H260" i="4"/>
  <c r="AC259" i="4"/>
  <c r="K260" i="4" l="1"/>
  <c r="AD259" i="4"/>
  <c r="AE259" i="4" s="1"/>
  <c r="AI259" i="4"/>
  <c r="AJ259" i="4" s="1"/>
  <c r="AG259" i="4"/>
  <c r="C260" i="4" s="1"/>
  <c r="AF259" i="4"/>
  <c r="T259" i="4"/>
  <c r="B260" i="4" l="1"/>
  <c r="AH259" i="4"/>
  <c r="D260" i="4" s="1"/>
  <c r="AK260" i="4"/>
  <c r="AL260" i="4"/>
  <c r="O261" i="4"/>
  <c r="I260" i="4" l="1"/>
  <c r="L260" i="4"/>
  <c r="U260" i="4" s="1"/>
  <c r="V260" i="4" s="1"/>
  <c r="E260" i="4"/>
  <c r="F260" i="4" l="1"/>
  <c r="M260" i="4"/>
  <c r="N260" i="4" s="1"/>
  <c r="W260" i="4"/>
  <c r="Y260" i="4"/>
  <c r="Z260" i="4"/>
  <c r="X260" i="4" l="1"/>
  <c r="AA260" i="4" s="1"/>
  <c r="AB260" i="4" s="1"/>
  <c r="P260" i="4"/>
  <c r="Q260" i="4"/>
  <c r="G260" i="4"/>
  <c r="R260" i="4"/>
  <c r="S260" i="4" l="1"/>
  <c r="AC260" i="4"/>
  <c r="H261" i="4"/>
  <c r="K261" i="4" l="1"/>
  <c r="AD260" i="4"/>
  <c r="AE260" i="4" s="1"/>
  <c r="AI260" i="4"/>
  <c r="AJ260" i="4" s="1"/>
  <c r="AF260" i="4"/>
  <c r="B261" i="4" s="1"/>
  <c r="AG260" i="4"/>
  <c r="C261" i="4" s="1"/>
  <c r="T260" i="4"/>
  <c r="O262" i="4"/>
  <c r="AL261" i="4" l="1"/>
  <c r="AK261" i="4"/>
  <c r="AH260" i="4"/>
  <c r="D261" i="4" s="1"/>
  <c r="L261" i="4" s="1"/>
  <c r="U261" i="4" s="1"/>
  <c r="V261" i="4" s="1"/>
  <c r="I261" i="4"/>
  <c r="E261" i="4"/>
  <c r="F261" i="4" l="1"/>
  <c r="M261" i="4"/>
  <c r="W261" i="4"/>
  <c r="Y261" i="4"/>
  <c r="Z261" i="4"/>
  <c r="X261" i="4" l="1"/>
  <c r="AA261" i="4" s="1"/>
  <c r="AB261" i="4" s="1"/>
  <c r="N261" i="4"/>
  <c r="Q261" i="4" s="1"/>
  <c r="P261" i="4"/>
  <c r="R261" i="4"/>
  <c r="G261" i="4" l="1"/>
  <c r="S261" i="4"/>
  <c r="AC261" i="4"/>
  <c r="H262" i="4"/>
  <c r="K262" i="4" l="1"/>
  <c r="AD261" i="4"/>
  <c r="AE261" i="4" s="1"/>
  <c r="AG261" i="4"/>
  <c r="C262" i="4" s="1"/>
  <c r="AI261" i="4"/>
  <c r="AJ261" i="4" s="1"/>
  <c r="AF261" i="4"/>
  <c r="B262" i="4" s="1"/>
  <c r="T261" i="4"/>
  <c r="O263" i="4"/>
  <c r="I262" i="4" l="1"/>
  <c r="AH261" i="4"/>
  <c r="D262" i="4" s="1"/>
  <c r="AL262" i="4"/>
  <c r="AK262" i="4"/>
  <c r="E262" i="4"/>
  <c r="F262" i="4" l="1"/>
  <c r="L262" i="4"/>
  <c r="U262" i="4" s="1"/>
  <c r="V262" i="4" s="1"/>
  <c r="M262" i="4" l="1"/>
  <c r="P262" i="4" s="1"/>
  <c r="Y262" i="4"/>
  <c r="W262" i="4"/>
  <c r="X262" i="4" s="1"/>
  <c r="Z262" i="4"/>
  <c r="R262" i="4"/>
  <c r="N262" i="4" l="1"/>
  <c r="G262" i="4" s="1"/>
  <c r="AA262" i="4"/>
  <c r="AB262" i="4" s="1"/>
  <c r="Q262" i="4" l="1"/>
  <c r="S262" i="4" s="1"/>
  <c r="H263" i="4"/>
  <c r="AC262" i="4"/>
  <c r="K263" i="4" l="1"/>
  <c r="AF262" i="4"/>
  <c r="AD262" i="4"/>
  <c r="AE262" i="4" s="1"/>
  <c r="AG262" i="4"/>
  <c r="C263" i="4" s="1"/>
  <c r="AI262" i="4"/>
  <c r="AJ262" i="4" s="1"/>
  <c r="T262" i="4"/>
  <c r="AH262" i="4" l="1"/>
  <c r="D263" i="4" s="1"/>
  <c r="L263" i="4" s="1"/>
  <c r="U263" i="4" s="1"/>
  <c r="V263" i="4" s="1"/>
  <c r="B263" i="4"/>
  <c r="AL263" i="4"/>
  <c r="AK263" i="4"/>
  <c r="O264" i="4"/>
  <c r="I263" i="4" l="1"/>
  <c r="M263" i="4"/>
  <c r="P263" i="4" s="1"/>
  <c r="Y263" i="4"/>
  <c r="W263" i="4"/>
  <c r="Z263" i="4"/>
  <c r="E263" i="4"/>
  <c r="R263" i="4"/>
  <c r="F263" i="4" l="1"/>
  <c r="X263" i="4" s="1"/>
  <c r="AA263" i="4" s="1"/>
  <c r="AB263" i="4" s="1"/>
  <c r="N263" i="4"/>
  <c r="Q263" i="4" s="1"/>
  <c r="S263" i="4" s="1"/>
  <c r="H264" i="4"/>
  <c r="AC263" i="4"/>
  <c r="G263" i="4" l="1"/>
  <c r="AD263" i="4"/>
  <c r="AE263" i="4" s="1"/>
  <c r="AI263" i="4"/>
  <c r="AJ263" i="4" s="1"/>
  <c r="AF263" i="4"/>
  <c r="B264" i="4" s="1"/>
  <c r="AG263" i="4"/>
  <c r="C264" i="4" s="1"/>
  <c r="K264" i="4"/>
  <c r="T263" i="4"/>
  <c r="O265" i="4"/>
  <c r="AL264" i="4" l="1"/>
  <c r="AK264" i="4"/>
  <c r="I264" i="4"/>
  <c r="AH263" i="4"/>
  <c r="D264" i="4" s="1"/>
  <c r="E264" i="4"/>
  <c r="F264" i="4" l="1"/>
  <c r="L264" i="4"/>
  <c r="U264" i="4" s="1"/>
  <c r="V264" i="4" s="1"/>
  <c r="M264" i="4" l="1"/>
  <c r="N264" i="4" s="1"/>
  <c r="Y264" i="4"/>
  <c r="W264" i="4"/>
  <c r="X264" i="4" s="1"/>
  <c r="Z264" i="4"/>
  <c r="P264" i="4" l="1"/>
  <c r="Q264" i="4"/>
  <c r="AA264" i="4"/>
  <c r="AB264" i="4" s="1"/>
  <c r="G264" i="4"/>
  <c r="R264" i="4"/>
  <c r="S264" i="4" l="1"/>
  <c r="H265" i="4"/>
  <c r="AC264" i="4"/>
  <c r="K265" i="4" l="1"/>
  <c r="AF264" i="4"/>
  <c r="B265" i="4" s="1"/>
  <c r="AI264" i="4"/>
  <c r="AJ264" i="4" s="1"/>
  <c r="AD264" i="4"/>
  <c r="AE264" i="4" s="1"/>
  <c r="AG264" i="4"/>
  <c r="C265" i="4" s="1"/>
  <c r="T264" i="4"/>
  <c r="O266" i="4"/>
  <c r="AL265" i="4" l="1"/>
  <c r="AK265" i="4"/>
  <c r="AH264" i="4"/>
  <c r="D265" i="4" s="1"/>
  <c r="L265" i="4" s="1"/>
  <c r="U265" i="4" s="1"/>
  <c r="V265" i="4" s="1"/>
  <c r="I265" i="4"/>
  <c r="E265" i="4"/>
  <c r="F265" i="4" l="1"/>
  <c r="Y265" i="4"/>
  <c r="W265" i="4"/>
  <c r="M265" i="4"/>
  <c r="Z265" i="4"/>
  <c r="X265" i="4" l="1"/>
  <c r="AA265" i="4" s="1"/>
  <c r="AB265" i="4" s="1"/>
  <c r="N265" i="4"/>
  <c r="P265" i="4"/>
  <c r="R265" i="4"/>
  <c r="G265" i="4" l="1"/>
  <c r="Q265" i="4"/>
  <c r="S265" i="4" s="1"/>
  <c r="T265" i="4" s="1"/>
  <c r="AC265" i="4"/>
  <c r="H266" i="4"/>
  <c r="K266" i="4" l="1"/>
  <c r="AD265" i="4"/>
  <c r="AE265" i="4" s="1"/>
  <c r="AI265" i="4"/>
  <c r="AJ265" i="4" s="1"/>
  <c r="AG265" i="4"/>
  <c r="C266" i="4" s="1"/>
  <c r="AF265" i="4"/>
  <c r="AH265" i="4" l="1"/>
  <c r="D266" i="4" s="1"/>
  <c r="L266" i="4" s="1"/>
  <c r="U266" i="4" s="1"/>
  <c r="V266" i="4" s="1"/>
  <c r="B266" i="4"/>
  <c r="AK266" i="4"/>
  <c r="AL266" i="4"/>
  <c r="O267" i="4"/>
  <c r="M266" i="4" l="1"/>
  <c r="P266" i="4" s="1"/>
  <c r="Y266" i="4"/>
  <c r="W266" i="4"/>
  <c r="I266" i="4"/>
  <c r="E266" i="4"/>
  <c r="R266" i="4"/>
  <c r="Z266" i="4"/>
  <c r="F266" i="4" l="1"/>
  <c r="X266" i="4" s="1"/>
  <c r="AA266" i="4" s="1"/>
  <c r="AB266" i="4" s="1"/>
  <c r="N266" i="4"/>
  <c r="G266" i="4" l="1"/>
  <c r="Q266" i="4"/>
  <c r="S266" i="4" s="1"/>
  <c r="T266" i="4" s="1"/>
  <c r="H267" i="4"/>
  <c r="AC266" i="4"/>
  <c r="AD266" i="4" l="1"/>
  <c r="AE266" i="4" s="1"/>
  <c r="AI266" i="4"/>
  <c r="AJ266" i="4" s="1"/>
  <c r="AF266" i="4"/>
  <c r="B267" i="4" s="1"/>
  <c r="AG266" i="4"/>
  <c r="C267" i="4" s="1"/>
  <c r="K267" i="4"/>
  <c r="O268" i="4"/>
  <c r="AL267" i="4" l="1"/>
  <c r="AK267" i="4"/>
  <c r="AH266" i="4"/>
  <c r="D267" i="4" s="1"/>
  <c r="L267" i="4" s="1"/>
  <c r="U267" i="4" s="1"/>
  <c r="V267" i="4" s="1"/>
  <c r="I267" i="4"/>
  <c r="E267" i="4"/>
  <c r="F267" i="4" l="1"/>
  <c r="Y267" i="4"/>
  <c r="W267" i="4"/>
  <c r="M267" i="4"/>
  <c r="Z267" i="4"/>
  <c r="X267" i="4" l="1"/>
  <c r="AA267" i="4" s="1"/>
  <c r="AB267" i="4" s="1"/>
  <c r="N267" i="4"/>
  <c r="Q267" i="4" s="1"/>
  <c r="P267" i="4"/>
  <c r="R267" i="4"/>
  <c r="G267" i="4" l="1"/>
  <c r="S267" i="4"/>
  <c r="T267" i="4" s="1"/>
  <c r="AC267" i="4"/>
  <c r="H268" i="4"/>
  <c r="K268" i="4" l="1"/>
  <c r="AI267" i="4"/>
  <c r="AJ267" i="4" s="1"/>
  <c r="AD267" i="4"/>
  <c r="AE267" i="4" s="1"/>
  <c r="AG267" i="4"/>
  <c r="C268" i="4" s="1"/>
  <c r="AF267" i="4"/>
  <c r="B268" i="4" l="1"/>
  <c r="AH267" i="4"/>
  <c r="D268" i="4" s="1"/>
  <c r="AL268" i="4"/>
  <c r="AK268" i="4"/>
  <c r="O269" i="4"/>
  <c r="L268" i="4" l="1"/>
  <c r="U268" i="4" s="1"/>
  <c r="V268" i="4" s="1"/>
  <c r="I268" i="4"/>
  <c r="E268" i="4"/>
  <c r="F268" i="4" l="1"/>
  <c r="W268" i="4"/>
  <c r="Y268" i="4"/>
  <c r="M268" i="4"/>
  <c r="Z268" i="4"/>
  <c r="X268" i="4" l="1"/>
  <c r="AA268" i="4" s="1"/>
  <c r="AB268" i="4" s="1"/>
  <c r="P268" i="4"/>
  <c r="N268" i="4"/>
  <c r="R268" i="4"/>
  <c r="Q268" i="4" l="1"/>
  <c r="S268" i="4" s="1"/>
  <c r="G268" i="4"/>
  <c r="AC268" i="4"/>
  <c r="H269" i="4"/>
  <c r="K269" i="4" l="1"/>
  <c r="AD268" i="4"/>
  <c r="AE268" i="4" s="1"/>
  <c r="AI268" i="4"/>
  <c r="AJ268" i="4" s="1"/>
  <c r="AG268" i="4"/>
  <c r="C269" i="4" s="1"/>
  <c r="AF268" i="4"/>
  <c r="T268" i="4"/>
  <c r="AH268" i="4" l="1"/>
  <c r="D269" i="4" s="1"/>
  <c r="AK269" i="4"/>
  <c r="B269" i="4"/>
  <c r="AL269" i="4"/>
  <c r="O270" i="4"/>
  <c r="L269" i="4" l="1"/>
  <c r="U269" i="4" s="1"/>
  <c r="V269" i="4" s="1"/>
  <c r="I269" i="4"/>
  <c r="E269" i="4"/>
  <c r="F269" i="4" l="1"/>
  <c r="W269" i="4"/>
  <c r="Y269" i="4"/>
  <c r="M269" i="4"/>
  <c r="Z269" i="4"/>
  <c r="X269" i="4" l="1"/>
  <c r="AA269" i="4" s="1"/>
  <c r="AB269" i="4" s="1"/>
  <c r="P269" i="4"/>
  <c r="N269" i="4"/>
  <c r="R269" i="4"/>
  <c r="Q269" i="4" l="1"/>
  <c r="S269" i="4" s="1"/>
  <c r="G269" i="4"/>
  <c r="AC269" i="4"/>
  <c r="H270" i="4"/>
  <c r="K270" i="4" l="1"/>
  <c r="AI269" i="4"/>
  <c r="AJ269" i="4" s="1"/>
  <c r="AD269" i="4"/>
  <c r="AE269" i="4" s="1"/>
  <c r="AG269" i="4"/>
  <c r="C270" i="4" s="1"/>
  <c r="AF269" i="4"/>
  <c r="T269" i="4"/>
  <c r="AH269" i="4" l="1"/>
  <c r="D270" i="4" s="1"/>
  <c r="L270" i="4" s="1"/>
  <c r="U270" i="4" s="1"/>
  <c r="V270" i="4" s="1"/>
  <c r="B270" i="4"/>
  <c r="AL270" i="4"/>
  <c r="AK270" i="4"/>
  <c r="O271" i="4"/>
  <c r="Y270" i="4" l="1"/>
  <c r="M270" i="4"/>
  <c r="N270" i="4" s="1"/>
  <c r="I270" i="4"/>
  <c r="W270" i="4"/>
  <c r="Z270" i="4"/>
  <c r="E270" i="4"/>
  <c r="F270" i="4" l="1"/>
  <c r="X270" i="4" s="1"/>
  <c r="AA270" i="4" s="1"/>
  <c r="AB270" i="4" s="1"/>
  <c r="P270" i="4"/>
  <c r="Q270" i="4"/>
  <c r="R270" i="4"/>
  <c r="G270" i="4" l="1"/>
  <c r="S270" i="4"/>
  <c r="T270" i="4" s="1"/>
  <c r="AC270" i="4"/>
  <c r="H271" i="4"/>
  <c r="AF270" i="4" l="1"/>
  <c r="AG270" i="4"/>
  <c r="C271" i="4" s="1"/>
  <c r="AD270" i="4"/>
  <c r="AE270" i="4" s="1"/>
  <c r="AI270" i="4"/>
  <c r="AJ270" i="4" s="1"/>
  <c r="K271" i="4"/>
  <c r="AH270" i="4" l="1"/>
  <c r="D271" i="4" s="1"/>
  <c r="L271" i="4" s="1"/>
  <c r="U271" i="4" s="1"/>
  <c r="V271" i="4" s="1"/>
  <c r="B271" i="4"/>
  <c r="AL271" i="4"/>
  <c r="AK271" i="4"/>
  <c r="O272" i="4"/>
  <c r="M271" i="4" l="1"/>
  <c r="N271" i="4" s="1"/>
  <c r="W271" i="4"/>
  <c r="I271" i="4"/>
  <c r="Y271" i="4"/>
  <c r="Z271" i="4"/>
  <c r="E271" i="4"/>
  <c r="F271" i="4" l="1"/>
  <c r="X271" i="4" s="1"/>
  <c r="AA271" i="4" s="1"/>
  <c r="AB271" i="4" s="1"/>
  <c r="Q271" i="4"/>
  <c r="P271" i="4"/>
  <c r="R271" i="4"/>
  <c r="G271" i="4" l="1"/>
  <c r="S271" i="4"/>
  <c r="H272" i="4"/>
  <c r="AC271" i="4"/>
  <c r="AI271" i="4" l="1"/>
  <c r="AJ271" i="4" s="1"/>
  <c r="AF271" i="4"/>
  <c r="B272" i="4" s="1"/>
  <c r="AD271" i="4"/>
  <c r="AE271" i="4" s="1"/>
  <c r="AG271" i="4"/>
  <c r="C272" i="4" s="1"/>
  <c r="K272" i="4"/>
  <c r="T271" i="4"/>
  <c r="O273" i="4"/>
  <c r="AL272" i="4" l="1"/>
  <c r="AH271" i="4"/>
  <c r="D272" i="4" s="1"/>
  <c r="L272" i="4" s="1"/>
  <c r="U272" i="4" s="1"/>
  <c r="V272" i="4" s="1"/>
  <c r="W272" i="4" s="1"/>
  <c r="AK272" i="4"/>
  <c r="I272" i="4"/>
  <c r="E272" i="4"/>
  <c r="F272" i="4" l="1"/>
  <c r="X272" i="4" s="1"/>
  <c r="Y272" i="4"/>
  <c r="M272" i="4"/>
  <c r="P272" i="4" s="1"/>
  <c r="Z272" i="4"/>
  <c r="R272" i="4"/>
  <c r="N272" i="4" l="1"/>
  <c r="Q272" i="4" s="1"/>
  <c r="S272" i="4" s="1"/>
  <c r="AA272" i="4"/>
  <c r="AB272" i="4" s="1"/>
  <c r="H273" i="4"/>
  <c r="AC272" i="4"/>
  <c r="G272" i="4" l="1"/>
  <c r="K273" i="4"/>
  <c r="AI272" i="4"/>
  <c r="AJ272" i="4" s="1"/>
  <c r="AD272" i="4"/>
  <c r="AE272" i="4" s="1"/>
  <c r="AG272" i="4"/>
  <c r="C273" i="4" s="1"/>
  <c r="AF272" i="4"/>
  <c r="T272" i="4"/>
  <c r="B273" i="4" l="1"/>
  <c r="AH272" i="4"/>
  <c r="D273" i="4" s="1"/>
  <c r="AL273" i="4"/>
  <c r="AK273" i="4"/>
  <c r="O274" i="4"/>
  <c r="L273" i="4" l="1"/>
  <c r="U273" i="4" s="1"/>
  <c r="V273" i="4" s="1"/>
  <c r="I273" i="4"/>
  <c r="E273" i="4"/>
  <c r="F273" i="4" l="1"/>
  <c r="Y273" i="4"/>
  <c r="W273" i="4"/>
  <c r="M273" i="4"/>
  <c r="Z273" i="4"/>
  <c r="X273" i="4" l="1"/>
  <c r="AA273" i="4" s="1"/>
  <c r="AB273" i="4" s="1"/>
  <c r="P273" i="4"/>
  <c r="N273" i="4"/>
  <c r="R273" i="4"/>
  <c r="Q273" i="4" l="1"/>
  <c r="S273" i="4" s="1"/>
  <c r="G273" i="4"/>
  <c r="AC273" i="4"/>
  <c r="H274" i="4"/>
  <c r="K274" i="4" l="1"/>
  <c r="AI273" i="4"/>
  <c r="AJ273" i="4" s="1"/>
  <c r="AD273" i="4"/>
  <c r="AE273" i="4" s="1"/>
  <c r="AG273" i="4"/>
  <c r="C274" i="4" s="1"/>
  <c r="AF273" i="4"/>
  <c r="T273" i="4"/>
  <c r="AK274" i="4" l="1"/>
  <c r="B274" i="4"/>
  <c r="AH273" i="4"/>
  <c r="D274" i="4" s="1"/>
  <c r="AL274" i="4"/>
  <c r="O275" i="4"/>
  <c r="L274" i="4" l="1"/>
  <c r="U274" i="4" s="1"/>
  <c r="V274" i="4" s="1"/>
  <c r="I274" i="4"/>
  <c r="E274" i="4"/>
  <c r="F274" i="4" l="1"/>
  <c r="M274" i="4"/>
  <c r="P274" i="4" s="1"/>
  <c r="W274" i="4"/>
  <c r="Y274" i="4"/>
  <c r="R274" i="4"/>
  <c r="Z274" i="4"/>
  <c r="X274" i="4" l="1"/>
  <c r="AA274" i="4" s="1"/>
  <c r="AB274" i="4" s="1"/>
  <c r="N274" i="4"/>
  <c r="Q274" i="4" s="1"/>
  <c r="S274" i="4" s="1"/>
  <c r="T274" i="4" s="1"/>
  <c r="AC274" i="4"/>
  <c r="H275" i="4"/>
  <c r="G274" i="4" l="1"/>
  <c r="K275" i="4"/>
  <c r="AD274" i="4"/>
  <c r="AE274" i="4" s="1"/>
  <c r="AI274" i="4"/>
  <c r="AJ274" i="4" s="1"/>
  <c r="AG274" i="4"/>
  <c r="C275" i="4" s="1"/>
  <c r="AF274" i="4"/>
  <c r="AL275" i="4" l="1"/>
  <c r="B275" i="4"/>
  <c r="AH274" i="4"/>
  <c r="D275" i="4" s="1"/>
  <c r="AK275" i="4"/>
  <c r="O276" i="4"/>
  <c r="I275" i="4" l="1"/>
  <c r="L275" i="4"/>
  <c r="U275" i="4" s="1"/>
  <c r="V275" i="4" s="1"/>
  <c r="E275" i="4"/>
  <c r="F275" i="4" l="1"/>
  <c r="M275" i="4"/>
  <c r="N275" i="4" s="1"/>
  <c r="Q275" i="4" s="1"/>
  <c r="W275" i="4"/>
  <c r="Y275" i="4"/>
  <c r="Z275" i="4"/>
  <c r="X275" i="4" l="1"/>
  <c r="AA275" i="4" s="1"/>
  <c r="AB275" i="4" s="1"/>
  <c r="P275" i="4"/>
  <c r="G275" i="4"/>
  <c r="R275" i="4"/>
  <c r="S275" i="4" l="1"/>
  <c r="T275" i="4" s="1"/>
  <c r="AC275" i="4"/>
  <c r="H276" i="4"/>
  <c r="K276" i="4" l="1"/>
  <c r="AI275" i="4"/>
  <c r="AJ275" i="4" s="1"/>
  <c r="AF275" i="4"/>
  <c r="B276" i="4" s="1"/>
  <c r="AG275" i="4"/>
  <c r="C276" i="4" s="1"/>
  <c r="AD275" i="4"/>
  <c r="AE275" i="4" s="1"/>
  <c r="O277" i="4"/>
  <c r="AK276" i="4" l="1"/>
  <c r="AH275" i="4"/>
  <c r="D276" i="4" s="1"/>
  <c r="L276" i="4" s="1"/>
  <c r="U276" i="4" s="1"/>
  <c r="V276" i="4" s="1"/>
  <c r="AL276" i="4"/>
  <c r="I276" i="4"/>
  <c r="E276" i="4"/>
  <c r="F276" i="4" l="1"/>
  <c r="M276" i="4"/>
  <c r="P276" i="4" s="1"/>
  <c r="Y276" i="4"/>
  <c r="W276" i="4"/>
  <c r="Z276" i="4"/>
  <c r="R276" i="4"/>
  <c r="X276" i="4" l="1"/>
  <c r="AA276" i="4" s="1"/>
  <c r="AB276" i="4" s="1"/>
  <c r="N276" i="4"/>
  <c r="Q276" i="4" s="1"/>
  <c r="S276" i="4" s="1"/>
  <c r="AC276" i="4"/>
  <c r="H277" i="4"/>
  <c r="G276" i="4" l="1"/>
  <c r="AI276" i="4"/>
  <c r="AJ276" i="4" s="1"/>
  <c r="AD276" i="4"/>
  <c r="AE276" i="4" s="1"/>
  <c r="AG276" i="4"/>
  <c r="C277" i="4" s="1"/>
  <c r="AF276" i="4"/>
  <c r="K277" i="4"/>
  <c r="T276" i="4"/>
  <c r="AK277" i="4" l="1"/>
  <c r="AL277" i="4"/>
  <c r="B277" i="4"/>
  <c r="AH276" i="4"/>
  <c r="D277" i="4" s="1"/>
  <c r="O278" i="4"/>
  <c r="L277" i="4" l="1"/>
  <c r="U277" i="4" s="1"/>
  <c r="V277" i="4" s="1"/>
  <c r="I277" i="4"/>
  <c r="E277" i="4"/>
  <c r="F277" i="4" l="1"/>
  <c r="W277" i="4"/>
  <c r="Y277" i="4"/>
  <c r="M277" i="4"/>
  <c r="Z277" i="4"/>
  <c r="X277" i="4" l="1"/>
  <c r="AA277" i="4" s="1"/>
  <c r="AB277" i="4" s="1"/>
  <c r="P277" i="4"/>
  <c r="N277" i="4"/>
  <c r="R277" i="4"/>
  <c r="G277" i="4" l="1"/>
  <c r="Q277" i="4"/>
  <c r="S277" i="4" s="1"/>
  <c r="AC277" i="4"/>
  <c r="H278" i="4"/>
  <c r="K278" i="4" l="1"/>
  <c r="AI277" i="4"/>
  <c r="AJ277" i="4" s="1"/>
  <c r="AD277" i="4"/>
  <c r="AE277" i="4" s="1"/>
  <c r="AG277" i="4"/>
  <c r="C278" i="4" s="1"/>
  <c r="AF277" i="4"/>
  <c r="T277" i="4"/>
  <c r="B278" i="4" l="1"/>
  <c r="AH277" i="4"/>
  <c r="D278" i="4" s="1"/>
  <c r="AK278" i="4"/>
  <c r="AL278" i="4"/>
  <c r="O279" i="4"/>
  <c r="I278" i="4" l="1"/>
  <c r="L278" i="4"/>
  <c r="U278" i="4" s="1"/>
  <c r="V278" i="4" s="1"/>
  <c r="E278" i="4"/>
  <c r="F278" i="4" l="1"/>
  <c r="M278" i="4"/>
  <c r="N278" i="4" s="1"/>
  <c r="Q278" i="4" s="1"/>
  <c r="W278" i="4"/>
  <c r="Y278" i="4"/>
  <c r="Z278" i="4"/>
  <c r="X278" i="4" l="1"/>
  <c r="AA278" i="4" s="1"/>
  <c r="AB278" i="4" s="1"/>
  <c r="P278" i="4"/>
  <c r="G278" i="4"/>
  <c r="R278" i="4"/>
  <c r="S278" i="4" l="1"/>
  <c r="H279" i="4"/>
  <c r="AC278" i="4"/>
  <c r="K279" i="4" l="1"/>
  <c r="AG278" i="4"/>
  <c r="C279" i="4" s="1"/>
  <c r="AI278" i="4"/>
  <c r="AJ278" i="4" s="1"/>
  <c r="AD278" i="4"/>
  <c r="AE278" i="4" s="1"/>
  <c r="AF278" i="4"/>
  <c r="B279" i="4" s="1"/>
  <c r="T278" i="4"/>
  <c r="O280" i="4"/>
  <c r="I279" i="4" l="1"/>
  <c r="AL279" i="4"/>
  <c r="AK279" i="4"/>
  <c r="AH278" i="4"/>
  <c r="D279" i="4" s="1"/>
  <c r="E279" i="4"/>
  <c r="F279" i="4" l="1"/>
  <c r="L279" i="4"/>
  <c r="U279" i="4" s="1"/>
  <c r="V279" i="4" s="1"/>
  <c r="M279" i="4" l="1"/>
  <c r="Y279" i="4"/>
  <c r="W279" i="4"/>
  <c r="X279" i="4" s="1"/>
  <c r="Z279" i="4"/>
  <c r="AA279" i="4" l="1"/>
  <c r="AB279" i="4" s="1"/>
  <c r="N279" i="4"/>
  <c r="Q279" i="4" s="1"/>
  <c r="P279" i="4"/>
  <c r="R279" i="4"/>
  <c r="S279" i="4" l="1"/>
  <c r="T279" i="4" s="1"/>
  <c r="G279" i="4"/>
  <c r="AC279" i="4"/>
  <c r="H280" i="4"/>
  <c r="K280" i="4" l="1"/>
  <c r="AI279" i="4"/>
  <c r="AJ279" i="4" s="1"/>
  <c r="AD279" i="4"/>
  <c r="AE279" i="4" s="1"/>
  <c r="AF279" i="4"/>
  <c r="AG279" i="4"/>
  <c r="C280" i="4" s="1"/>
  <c r="AL280" i="4" l="1"/>
  <c r="AH279" i="4"/>
  <c r="D280" i="4" s="1"/>
  <c r="AK280" i="4"/>
  <c r="B280" i="4"/>
  <c r="O281" i="4"/>
  <c r="I280" i="4" l="1"/>
  <c r="L280" i="4"/>
  <c r="U280" i="4" s="1"/>
  <c r="V280" i="4" s="1"/>
  <c r="E280" i="4"/>
  <c r="M280" i="4" l="1"/>
  <c r="P280" i="4" s="1"/>
  <c r="F280" i="4"/>
  <c r="W280" i="4"/>
  <c r="Y280" i="4"/>
  <c r="R280" i="4"/>
  <c r="Z280" i="4"/>
  <c r="X280" i="4" l="1"/>
  <c r="AA280" i="4" s="1"/>
  <c r="AB280" i="4" s="1"/>
  <c r="N280" i="4"/>
  <c r="Q280" i="4" s="1"/>
  <c r="S280" i="4" s="1"/>
  <c r="H281" i="4"/>
  <c r="AC280" i="4"/>
  <c r="G280" i="4" l="1"/>
  <c r="K281" i="4"/>
  <c r="AI280" i="4"/>
  <c r="AJ280" i="4" s="1"/>
  <c r="AG280" i="4"/>
  <c r="C281" i="4" s="1"/>
  <c r="AD280" i="4"/>
  <c r="AE280" i="4" s="1"/>
  <c r="AF280" i="4"/>
  <c r="T280" i="4"/>
  <c r="AH280" i="4" l="1"/>
  <c r="D281" i="4" s="1"/>
  <c r="L281" i="4" s="1"/>
  <c r="AK281" i="4"/>
  <c r="AL281" i="4"/>
  <c r="B281" i="4"/>
  <c r="O282" i="4"/>
  <c r="I281" i="4" l="1"/>
  <c r="U281" i="4"/>
  <c r="V281" i="4" s="1"/>
  <c r="M281" i="4"/>
  <c r="E281" i="4"/>
  <c r="F281" i="4" l="1"/>
  <c r="N281" i="4"/>
  <c r="Q281" i="4" s="1"/>
  <c r="P281" i="4"/>
  <c r="Y281" i="4"/>
  <c r="W281" i="4"/>
  <c r="R281" i="4"/>
  <c r="Z281" i="4"/>
  <c r="X281" i="4" l="1"/>
  <c r="AA281" i="4" s="1"/>
  <c r="AB281" i="4" s="1"/>
  <c r="S281" i="4"/>
  <c r="T281" i="4" s="1"/>
  <c r="G281" i="4"/>
  <c r="AC281" i="4"/>
  <c r="H282" i="4"/>
  <c r="K282" i="4" l="1"/>
  <c r="AD281" i="4"/>
  <c r="AE281" i="4" s="1"/>
  <c r="AG281" i="4"/>
  <c r="C282" i="4" s="1"/>
  <c r="AI281" i="4"/>
  <c r="AJ281" i="4" s="1"/>
  <c r="AF281" i="4"/>
  <c r="AH281" i="4" l="1"/>
  <c r="D282" i="4" s="1"/>
  <c r="L282" i="4" s="1"/>
  <c r="U282" i="4" s="1"/>
  <c r="V282" i="4" s="1"/>
  <c r="AK282" i="4"/>
  <c r="B282" i="4"/>
  <c r="I282" i="4" s="1"/>
  <c r="AL282" i="4"/>
  <c r="E282" i="4"/>
  <c r="O283" i="4"/>
  <c r="F282" i="4" l="1"/>
  <c r="Y282" i="4"/>
  <c r="W282" i="4"/>
  <c r="M282" i="4"/>
  <c r="Z282" i="4"/>
  <c r="X282" i="4" l="1"/>
  <c r="AA282" i="4" s="1"/>
  <c r="AB282" i="4" s="1"/>
  <c r="N282" i="4"/>
  <c r="Q282" i="4" s="1"/>
  <c r="P282" i="4"/>
  <c r="R282" i="4"/>
  <c r="G282" i="4" l="1"/>
  <c r="S282" i="4"/>
  <c r="T282" i="4" s="1"/>
  <c r="H283" i="4"/>
  <c r="AC282" i="4"/>
  <c r="K283" i="4" l="1"/>
  <c r="AD282" i="4"/>
  <c r="AE282" i="4" s="1"/>
  <c r="AF282" i="4"/>
  <c r="B283" i="4" s="1"/>
  <c r="AI282" i="4"/>
  <c r="AJ282" i="4" s="1"/>
  <c r="AG282" i="4"/>
  <c r="C283" i="4" s="1"/>
  <c r="O284" i="4"/>
  <c r="I283" i="4" l="1"/>
  <c r="AH282" i="4"/>
  <c r="D283" i="4" s="1"/>
  <c r="AL283" i="4"/>
  <c r="AK283" i="4"/>
  <c r="E283" i="4"/>
  <c r="F283" i="4" l="1"/>
  <c r="L283" i="4"/>
  <c r="U283" i="4" s="1"/>
  <c r="V283" i="4" s="1"/>
  <c r="Y283" i="4" l="1"/>
  <c r="W283" i="4"/>
  <c r="M283" i="4"/>
  <c r="Z283" i="4"/>
  <c r="P283" i="4" l="1"/>
  <c r="N283" i="4"/>
  <c r="X283" i="4"/>
  <c r="AA283" i="4" s="1"/>
  <c r="AB283" i="4" s="1"/>
  <c r="R283" i="4"/>
  <c r="G283" i="4" l="1"/>
  <c r="Q283" i="4"/>
  <c r="S283" i="4" s="1"/>
  <c r="AC283" i="4"/>
  <c r="H284" i="4"/>
  <c r="K284" i="4" l="1"/>
  <c r="AD283" i="4"/>
  <c r="AE283" i="4" s="1"/>
  <c r="AI283" i="4"/>
  <c r="AJ283" i="4" s="1"/>
  <c r="AF283" i="4"/>
  <c r="B284" i="4" s="1"/>
  <c r="AG283" i="4"/>
  <c r="C284" i="4" s="1"/>
  <c r="T283" i="4"/>
  <c r="O285" i="4"/>
  <c r="I284" i="4" l="1"/>
  <c r="AL284" i="4"/>
  <c r="AK284" i="4"/>
  <c r="AH283" i="4"/>
  <c r="D284" i="4" s="1"/>
  <c r="E284" i="4"/>
  <c r="F284" i="4" l="1"/>
  <c r="L284" i="4"/>
  <c r="U284" i="4" s="1"/>
  <c r="V284" i="4" s="1"/>
  <c r="W284" i="4" l="1"/>
  <c r="X284" i="4" s="1"/>
  <c r="Y284" i="4"/>
  <c r="M284" i="4"/>
  <c r="Z284" i="4"/>
  <c r="N284" i="4" l="1"/>
  <c r="Q284" i="4" s="1"/>
  <c r="P284" i="4"/>
  <c r="AA284" i="4"/>
  <c r="AB284" i="4" s="1"/>
  <c r="R284" i="4"/>
  <c r="S284" i="4" l="1"/>
  <c r="T284" i="4" s="1"/>
  <c r="G284" i="4"/>
  <c r="AC284" i="4"/>
  <c r="H285" i="4"/>
  <c r="K285" i="4" l="1"/>
  <c r="AI284" i="4"/>
  <c r="AJ284" i="4" s="1"/>
  <c r="AF284" i="4"/>
  <c r="B285" i="4" s="1"/>
  <c r="AG284" i="4"/>
  <c r="C285" i="4" s="1"/>
  <c r="AD284" i="4"/>
  <c r="AE284" i="4" s="1"/>
  <c r="O286" i="4"/>
  <c r="I285" i="4" l="1"/>
  <c r="AK285" i="4"/>
  <c r="AL285" i="4"/>
  <c r="AH284" i="4"/>
  <c r="D285" i="4" s="1"/>
  <c r="E285" i="4"/>
  <c r="F285" i="4" l="1"/>
  <c r="L285" i="4"/>
  <c r="U285" i="4" s="1"/>
  <c r="V285" i="4" s="1"/>
  <c r="W285" i="4" l="1"/>
  <c r="X285" i="4" s="1"/>
  <c r="Y285" i="4"/>
  <c r="M285" i="4"/>
  <c r="Z285" i="4"/>
  <c r="AA285" i="4" l="1"/>
  <c r="AB285" i="4" s="1"/>
  <c r="N285" i="4"/>
  <c r="Q285" i="4" s="1"/>
  <c r="P285" i="4"/>
  <c r="R285" i="4"/>
  <c r="S285" i="4" l="1"/>
  <c r="T285" i="4" s="1"/>
  <c r="G285" i="4"/>
  <c r="H286" i="4"/>
  <c r="AC285" i="4"/>
  <c r="K286" i="4" l="1"/>
  <c r="AI285" i="4"/>
  <c r="AJ285" i="4" s="1"/>
  <c r="AD285" i="4"/>
  <c r="AE285" i="4" s="1"/>
  <c r="AF285" i="4"/>
  <c r="AG285" i="4"/>
  <c r="C286" i="4" s="1"/>
  <c r="AH285" i="4" l="1"/>
  <c r="D286" i="4" s="1"/>
  <c r="L286" i="4" s="1"/>
  <c r="U286" i="4" s="1"/>
  <c r="V286" i="4" s="1"/>
  <c r="B286" i="4"/>
  <c r="AK286" i="4"/>
  <c r="AL286" i="4"/>
  <c r="O287" i="4"/>
  <c r="Y286" i="4" l="1"/>
  <c r="W286" i="4"/>
  <c r="I286" i="4"/>
  <c r="M286" i="4"/>
  <c r="Z286" i="4"/>
  <c r="E286" i="4"/>
  <c r="F286" i="4" l="1"/>
  <c r="P286" i="4"/>
  <c r="N286" i="4"/>
  <c r="R286" i="4"/>
  <c r="Q286" i="4" l="1"/>
  <c r="S286" i="4" s="1"/>
  <c r="G286" i="4"/>
  <c r="X286" i="4"/>
  <c r="AA286" i="4" s="1"/>
  <c r="AB286" i="4" s="1"/>
  <c r="H287" i="4"/>
  <c r="AC286" i="4"/>
  <c r="AD286" i="4" l="1"/>
  <c r="AE286" i="4" s="1"/>
  <c r="AI286" i="4"/>
  <c r="AJ286" i="4" s="1"/>
  <c r="AG286" i="4"/>
  <c r="C287" i="4" s="1"/>
  <c r="AF286" i="4"/>
  <c r="K287" i="4"/>
  <c r="T286" i="4"/>
  <c r="AH286" i="4" l="1"/>
  <c r="D287" i="4" s="1"/>
  <c r="L287" i="4" s="1"/>
  <c r="U287" i="4" s="1"/>
  <c r="V287" i="4" s="1"/>
  <c r="AL287" i="4"/>
  <c r="B287" i="4"/>
  <c r="I287" i="4" s="1"/>
  <c r="AK287" i="4"/>
  <c r="E287" i="4"/>
  <c r="O288" i="4"/>
  <c r="Y287" i="4" l="1"/>
  <c r="W287" i="4"/>
  <c r="M287" i="4"/>
  <c r="P287" i="4" s="1"/>
  <c r="F287" i="4"/>
  <c r="R287" i="4"/>
  <c r="Z287" i="4"/>
  <c r="N287" i="4" l="1"/>
  <c r="Q287" i="4" s="1"/>
  <c r="S287" i="4" s="1"/>
  <c r="X287" i="4"/>
  <c r="AA287" i="4" s="1"/>
  <c r="AB287" i="4" s="1"/>
  <c r="AC287" i="4"/>
  <c r="H288" i="4"/>
  <c r="G287" i="4" l="1"/>
  <c r="AD287" i="4"/>
  <c r="AE287" i="4" s="1"/>
  <c r="AI287" i="4"/>
  <c r="AJ287" i="4" s="1"/>
  <c r="AG287" i="4"/>
  <c r="C288" i="4" s="1"/>
  <c r="AF287" i="4"/>
  <c r="B288" i="4" s="1"/>
  <c r="K288" i="4"/>
  <c r="T287" i="4"/>
  <c r="O289" i="4"/>
  <c r="AL288" i="4" l="1"/>
  <c r="AK288" i="4"/>
  <c r="AH287" i="4"/>
  <c r="D288" i="4" s="1"/>
  <c r="L288" i="4" s="1"/>
  <c r="U288" i="4" s="1"/>
  <c r="V288" i="4" s="1"/>
  <c r="W288" i="4" s="1"/>
  <c r="I288" i="4"/>
  <c r="E288" i="4"/>
  <c r="M288" i="4" l="1"/>
  <c r="P288" i="4" s="1"/>
  <c r="Y288" i="4"/>
  <c r="F288" i="4"/>
  <c r="Z288" i="4"/>
  <c r="R288" i="4"/>
  <c r="N288" i="4" l="1"/>
  <c r="Q288" i="4" s="1"/>
  <c r="S288" i="4" s="1"/>
  <c r="T288" i="4" s="1"/>
  <c r="X288" i="4"/>
  <c r="AA288" i="4" s="1"/>
  <c r="AB288" i="4" s="1"/>
  <c r="H289" i="4"/>
  <c r="AC288" i="4"/>
  <c r="G288" i="4" l="1"/>
  <c r="AD288" i="4"/>
  <c r="AE288" i="4" s="1"/>
  <c r="AI288" i="4"/>
  <c r="AJ288" i="4" s="1"/>
  <c r="AF288" i="4"/>
  <c r="B289" i="4" s="1"/>
  <c r="AG288" i="4"/>
  <c r="C289" i="4" s="1"/>
  <c r="K289" i="4"/>
  <c r="O290" i="4"/>
  <c r="AK289" i="4" l="1"/>
  <c r="AL289" i="4"/>
  <c r="I289" i="4"/>
  <c r="AH288" i="4"/>
  <c r="D289" i="4" s="1"/>
  <c r="E289" i="4"/>
  <c r="F289" i="4" l="1"/>
  <c r="L289" i="4"/>
  <c r="U289" i="4" s="1"/>
  <c r="V289" i="4" s="1"/>
  <c r="M289" i="4" l="1"/>
  <c r="P289" i="4" s="1"/>
  <c r="W289" i="4"/>
  <c r="X289" i="4" s="1"/>
  <c r="Y289" i="4"/>
  <c r="Z289" i="4"/>
  <c r="R289" i="4"/>
  <c r="N289" i="4" l="1"/>
  <c r="G289" i="4" s="1"/>
  <c r="AA289" i="4"/>
  <c r="AB289" i="4" s="1"/>
  <c r="Q289" i="4" l="1"/>
  <c r="S289" i="4" s="1"/>
  <c r="AC289" i="4"/>
  <c r="H290" i="4"/>
  <c r="K290" i="4" l="1"/>
  <c r="AF289" i="4"/>
  <c r="B290" i="4" s="1"/>
  <c r="AD289" i="4"/>
  <c r="AE289" i="4" s="1"/>
  <c r="AG289" i="4"/>
  <c r="C290" i="4" s="1"/>
  <c r="AI289" i="4"/>
  <c r="AJ289" i="4" s="1"/>
  <c r="T289" i="4"/>
  <c r="O291" i="4"/>
  <c r="AL290" i="4" l="1"/>
  <c r="AH289" i="4"/>
  <c r="D290" i="4" s="1"/>
  <c r="L290" i="4" s="1"/>
  <c r="U290" i="4" s="1"/>
  <c r="V290" i="4" s="1"/>
  <c r="W290" i="4" s="1"/>
  <c r="AK290" i="4"/>
  <c r="I290" i="4"/>
  <c r="E290" i="4"/>
  <c r="M290" i="4" l="1"/>
  <c r="P290" i="4" s="1"/>
  <c r="Y290" i="4"/>
  <c r="F290" i="4"/>
  <c r="Z290" i="4"/>
  <c r="R290" i="4"/>
  <c r="N290" i="4" l="1"/>
  <c r="Q290" i="4" s="1"/>
  <c r="S290" i="4" s="1"/>
  <c r="X290" i="4"/>
  <c r="AA290" i="4" s="1"/>
  <c r="AB290" i="4" s="1"/>
  <c r="H291" i="4"/>
  <c r="AC290" i="4"/>
  <c r="G290" i="4" l="1"/>
  <c r="K291" i="4"/>
  <c r="T290" i="4"/>
  <c r="AG290" i="4"/>
  <c r="C291" i="4" s="1"/>
  <c r="AF290" i="4"/>
  <c r="B291" i="4" s="1"/>
  <c r="AD290" i="4"/>
  <c r="AE290" i="4" s="1"/>
  <c r="AI290" i="4"/>
  <c r="AJ290" i="4" s="1"/>
  <c r="O292" i="4"/>
  <c r="I291" i="4" l="1"/>
  <c r="AK291" i="4"/>
  <c r="AH290" i="4"/>
  <c r="D291" i="4" s="1"/>
  <c r="L291" i="4" s="1"/>
  <c r="U291" i="4" s="1"/>
  <c r="V291" i="4" s="1"/>
  <c r="Y291" i="4" s="1"/>
  <c r="AL291" i="4"/>
  <c r="E291" i="4"/>
  <c r="Z291" i="4"/>
  <c r="F291" i="4" l="1"/>
  <c r="M291" i="4"/>
  <c r="N291" i="4" s="1"/>
  <c r="W291" i="4"/>
  <c r="P291" i="4"/>
  <c r="R291" i="4"/>
  <c r="X291" i="4" l="1"/>
  <c r="AA291" i="4" s="1"/>
  <c r="AB291" i="4" s="1"/>
  <c r="G291" i="4"/>
  <c r="Q291" i="4"/>
  <c r="S291" i="4" s="1"/>
  <c r="AC291" i="4"/>
  <c r="H292" i="4"/>
  <c r="K292" i="4" l="1"/>
  <c r="AI291" i="4"/>
  <c r="AJ291" i="4" s="1"/>
  <c r="AF291" i="4"/>
  <c r="B292" i="4" s="1"/>
  <c r="AG291" i="4"/>
  <c r="C292" i="4" s="1"/>
  <c r="AD291" i="4"/>
  <c r="AE291" i="4" s="1"/>
  <c r="T291" i="4"/>
  <c r="O293" i="4"/>
  <c r="I292" i="4" l="1"/>
  <c r="AL292" i="4"/>
  <c r="AK292" i="4"/>
  <c r="AH291" i="4"/>
  <c r="D292" i="4" s="1"/>
  <c r="E292" i="4"/>
  <c r="F292" i="4" l="1"/>
  <c r="L292" i="4"/>
  <c r="U292" i="4" s="1"/>
  <c r="V292" i="4" s="1"/>
  <c r="M292" i="4" l="1"/>
  <c r="Y292" i="4"/>
  <c r="W292" i="4"/>
  <c r="X292" i="4" s="1"/>
  <c r="P292" i="4"/>
  <c r="N292" i="4"/>
  <c r="Z292" i="4"/>
  <c r="R292" i="4"/>
  <c r="AA292" i="4" l="1"/>
  <c r="AB292" i="4" s="1"/>
  <c r="G292" i="4"/>
  <c r="Q292" i="4"/>
  <c r="S292" i="4" s="1"/>
  <c r="H293" i="4"/>
  <c r="AC292" i="4"/>
  <c r="K293" i="4" l="1"/>
  <c r="AI292" i="4"/>
  <c r="AJ292" i="4" s="1"/>
  <c r="AD292" i="4"/>
  <c r="AE292" i="4" s="1"/>
  <c r="AF292" i="4"/>
  <c r="AG292" i="4"/>
  <c r="C293" i="4" s="1"/>
  <c r="T292" i="4"/>
  <c r="AK293" i="4" l="1"/>
  <c r="AH292" i="4"/>
  <c r="D293" i="4" s="1"/>
  <c r="B293" i="4"/>
  <c r="AL293" i="4"/>
  <c r="O294" i="4"/>
  <c r="I293" i="4" l="1"/>
  <c r="L293" i="4"/>
  <c r="U293" i="4" s="1"/>
  <c r="V293" i="4" s="1"/>
  <c r="E293" i="4"/>
  <c r="F293" i="4" l="1"/>
  <c r="W293" i="4"/>
  <c r="Y293" i="4"/>
  <c r="M293" i="4"/>
  <c r="Z293" i="4"/>
  <c r="X293" i="4" l="1"/>
  <c r="AA293" i="4" s="1"/>
  <c r="AB293" i="4" s="1"/>
  <c r="P293" i="4"/>
  <c r="N293" i="4"/>
  <c r="Q293" i="4" s="1"/>
  <c r="R293" i="4"/>
  <c r="G293" i="4" l="1"/>
  <c r="S293" i="4"/>
  <c r="T293" i="4" s="1"/>
  <c r="H294" i="4"/>
  <c r="AC293" i="4"/>
  <c r="K294" i="4" l="1"/>
  <c r="AG293" i="4"/>
  <c r="C294" i="4" s="1"/>
  <c r="AI293" i="4"/>
  <c r="AJ293" i="4" s="1"/>
  <c r="AD293" i="4"/>
  <c r="AE293" i="4" s="1"/>
  <c r="AF293" i="4"/>
  <c r="AH293" i="4" l="1"/>
  <c r="D294" i="4" s="1"/>
  <c r="L294" i="4" s="1"/>
  <c r="U294" i="4" s="1"/>
  <c r="V294" i="4" s="1"/>
  <c r="B294" i="4"/>
  <c r="AL294" i="4"/>
  <c r="AK294" i="4"/>
  <c r="O295" i="4"/>
  <c r="M294" i="4" l="1"/>
  <c r="P294" i="4" s="1"/>
  <c r="I294" i="4"/>
  <c r="W294" i="4"/>
  <c r="Y294" i="4"/>
  <c r="E294" i="4"/>
  <c r="Z294" i="4"/>
  <c r="R294" i="4"/>
  <c r="N294" i="4" l="1"/>
  <c r="Q294" i="4" s="1"/>
  <c r="S294" i="4" s="1"/>
  <c r="T294" i="4" s="1"/>
  <c r="F294" i="4"/>
  <c r="H295" i="4"/>
  <c r="G294" i="4" l="1"/>
  <c r="X294" i="4"/>
  <c r="AA294" i="4" s="1"/>
  <c r="AB294" i="4" s="1"/>
  <c r="K295" i="4"/>
  <c r="AC294" i="4"/>
  <c r="AF294" i="4" l="1"/>
  <c r="AD294" i="4"/>
  <c r="AE294" i="4" s="1"/>
  <c r="AG294" i="4"/>
  <c r="C295" i="4" s="1"/>
  <c r="AI294" i="4"/>
  <c r="B295" i="4"/>
  <c r="O296" i="4"/>
  <c r="AJ294" i="4" l="1"/>
  <c r="AK295" i="4"/>
  <c r="AL295" i="4"/>
  <c r="I295" i="4"/>
  <c r="AH294" i="4"/>
  <c r="D295" i="4" s="1"/>
  <c r="E295" i="4"/>
  <c r="F295" i="4" l="1"/>
  <c r="L295" i="4"/>
  <c r="U295" i="4" s="1"/>
  <c r="V295" i="4" s="1"/>
  <c r="Y295" i="4" l="1"/>
  <c r="W295" i="4"/>
  <c r="X295" i="4" s="1"/>
  <c r="M295" i="4"/>
  <c r="Z295" i="4"/>
  <c r="P295" i="4" l="1"/>
  <c r="N295" i="4"/>
  <c r="Q295" i="4" s="1"/>
  <c r="AA295" i="4"/>
  <c r="AB295" i="4" s="1"/>
  <c r="R295" i="4"/>
  <c r="S295" i="4" l="1"/>
  <c r="T295" i="4" s="1"/>
  <c r="G295" i="4"/>
  <c r="H296" i="4"/>
  <c r="AC295" i="4"/>
  <c r="K296" i="4" l="1"/>
  <c r="AI295" i="4"/>
  <c r="AJ295" i="4" s="1"/>
  <c r="AG295" i="4"/>
  <c r="C296" i="4" s="1"/>
  <c r="AF295" i="4"/>
  <c r="B296" i="4" s="1"/>
  <c r="AD295" i="4"/>
  <c r="AE295" i="4" s="1"/>
  <c r="O297" i="4"/>
  <c r="AH295" i="4" l="1"/>
  <c r="D296" i="4" s="1"/>
  <c r="L296" i="4" s="1"/>
  <c r="U296" i="4" s="1"/>
  <c r="V296" i="4" s="1"/>
  <c r="Y296" i="4" s="1"/>
  <c r="AL296" i="4"/>
  <c r="I296" i="4"/>
  <c r="AK296" i="4"/>
  <c r="Z296" i="4"/>
  <c r="E296" i="4"/>
  <c r="M296" i="4" l="1"/>
  <c r="P296" i="4" s="1"/>
  <c r="W296" i="4"/>
  <c r="F296" i="4"/>
  <c r="R296" i="4"/>
  <c r="N296" i="4" l="1"/>
  <c r="Q296" i="4" s="1"/>
  <c r="S296" i="4" s="1"/>
  <c r="T296" i="4" s="1"/>
  <c r="X296" i="4"/>
  <c r="AA296" i="4" s="1"/>
  <c r="AB296" i="4" s="1"/>
  <c r="G296" i="4"/>
  <c r="AC296" i="4"/>
  <c r="H297" i="4"/>
  <c r="K297" i="4" l="1"/>
  <c r="AG296" i="4"/>
  <c r="C297" i="4" s="1"/>
  <c r="AD296" i="4"/>
  <c r="AE296" i="4" s="1"/>
  <c r="AI296" i="4"/>
  <c r="AJ296" i="4" s="1"/>
  <c r="AF296" i="4"/>
  <c r="AK297" i="4" l="1"/>
  <c r="AL297" i="4"/>
  <c r="AH296" i="4"/>
  <c r="D297" i="4" s="1"/>
  <c r="B297" i="4"/>
  <c r="O298" i="4"/>
  <c r="I297" i="4" l="1"/>
  <c r="L297" i="4"/>
  <c r="U297" i="4" s="1"/>
  <c r="V297" i="4" s="1"/>
  <c r="E297" i="4"/>
  <c r="F297" i="4" l="1"/>
  <c r="W297" i="4"/>
  <c r="Y297" i="4"/>
  <c r="M297" i="4"/>
  <c r="Z297" i="4"/>
  <c r="X297" i="4" l="1"/>
  <c r="AA297" i="4" s="1"/>
  <c r="AB297" i="4" s="1"/>
  <c r="P297" i="4"/>
  <c r="N297" i="4"/>
  <c r="R297" i="4"/>
  <c r="Q297" i="4" l="1"/>
  <c r="S297" i="4" s="1"/>
  <c r="G297" i="4"/>
  <c r="H298" i="4"/>
  <c r="AC297" i="4"/>
  <c r="K298" i="4" l="1"/>
  <c r="AG297" i="4"/>
  <c r="C298" i="4" s="1"/>
  <c r="AI297" i="4"/>
  <c r="AJ297" i="4" s="1"/>
  <c r="AD297" i="4"/>
  <c r="AE297" i="4" s="1"/>
  <c r="AF297" i="4"/>
  <c r="T297" i="4"/>
  <c r="AL298" i="4" l="1"/>
  <c r="AH297" i="4"/>
  <c r="D298" i="4" s="1"/>
  <c r="B298" i="4"/>
  <c r="AK298" i="4"/>
  <c r="O299" i="4"/>
  <c r="I298" i="4" l="1"/>
  <c r="L298" i="4"/>
  <c r="U298" i="4" s="1"/>
  <c r="V298" i="4" s="1"/>
  <c r="E298" i="4"/>
  <c r="M298" i="4" l="1"/>
  <c r="N298" i="4" s="1"/>
  <c r="Q298" i="4" s="1"/>
  <c r="F298" i="4"/>
  <c r="Y298" i="4"/>
  <c r="W298" i="4"/>
  <c r="Z298" i="4"/>
  <c r="P298" i="4" l="1"/>
  <c r="X298" i="4"/>
  <c r="AA298" i="4" s="1"/>
  <c r="AB298" i="4" s="1"/>
  <c r="G298" i="4"/>
  <c r="R298" i="4"/>
  <c r="S298" i="4" l="1"/>
  <c r="T298" i="4" s="1"/>
  <c r="H299" i="4"/>
  <c r="AC298" i="4"/>
  <c r="AG298" i="4" l="1"/>
  <c r="C299" i="4" s="1"/>
  <c r="AF298" i="4"/>
  <c r="B299" i="4" s="1"/>
  <c r="AI298" i="4"/>
  <c r="AJ298" i="4" s="1"/>
  <c r="AD298" i="4"/>
  <c r="AE298" i="4" s="1"/>
  <c r="K299" i="4"/>
  <c r="O300" i="4"/>
  <c r="AH298" i="4" l="1"/>
  <c r="D299" i="4" s="1"/>
  <c r="L299" i="4" s="1"/>
  <c r="U299" i="4" s="1"/>
  <c r="V299" i="4" s="1"/>
  <c r="AL299" i="4"/>
  <c r="AK299" i="4"/>
  <c r="I299" i="4"/>
  <c r="E299" i="4"/>
  <c r="M299" i="4" l="1"/>
  <c r="N299" i="4" s="1"/>
  <c r="Q299" i="4" s="1"/>
  <c r="F299" i="4"/>
  <c r="Y299" i="4"/>
  <c r="W299" i="4"/>
  <c r="Z299" i="4"/>
  <c r="P299" i="4" l="1"/>
  <c r="X299" i="4"/>
  <c r="AA299" i="4" s="1"/>
  <c r="AB299" i="4" s="1"/>
  <c r="G299" i="4"/>
  <c r="R299" i="4"/>
  <c r="S299" i="4" l="1"/>
  <c r="T299" i="4" s="1"/>
  <c r="AC299" i="4"/>
  <c r="H300" i="4"/>
  <c r="AD299" i="4" l="1"/>
  <c r="AE299" i="4" s="1"/>
  <c r="AF299" i="4"/>
  <c r="B300" i="4" s="1"/>
  <c r="AI299" i="4"/>
  <c r="AJ299" i="4" s="1"/>
  <c r="AG299" i="4"/>
  <c r="C300" i="4" s="1"/>
  <c r="K300" i="4"/>
  <c r="O301" i="4"/>
  <c r="AH299" i="4" l="1"/>
  <c r="D300" i="4" s="1"/>
  <c r="L300" i="4" s="1"/>
  <c r="U300" i="4" s="1"/>
  <c r="V300" i="4" s="1"/>
  <c r="AL300" i="4"/>
  <c r="AK300" i="4"/>
  <c r="I300" i="4"/>
  <c r="E300" i="4"/>
  <c r="M300" i="4" l="1"/>
  <c r="P300" i="4" s="1"/>
  <c r="F300" i="4"/>
  <c r="Y300" i="4"/>
  <c r="W300" i="4"/>
  <c r="R300" i="4"/>
  <c r="Z300" i="4"/>
  <c r="N300" i="4" l="1"/>
  <c r="Q300" i="4" s="1"/>
  <c r="S300" i="4" s="1"/>
  <c r="T300" i="4" s="1"/>
  <c r="X300" i="4"/>
  <c r="AA300" i="4" s="1"/>
  <c r="AB300" i="4" s="1"/>
  <c r="H301" i="4"/>
  <c r="AC300" i="4"/>
  <c r="G300" i="4" l="1"/>
  <c r="K301" i="4"/>
  <c r="AI300" i="4"/>
  <c r="AJ300" i="4" s="1"/>
  <c r="AD300" i="4"/>
  <c r="AE300" i="4" s="1"/>
  <c r="AG300" i="4"/>
  <c r="C301" i="4" s="1"/>
  <c r="AF300" i="4"/>
  <c r="AH300" i="4" l="1"/>
  <c r="D301" i="4" s="1"/>
  <c r="L301" i="4" s="1"/>
  <c r="U301" i="4" s="1"/>
  <c r="V301" i="4" s="1"/>
  <c r="AK301" i="4"/>
  <c r="AL301" i="4"/>
  <c r="B301" i="4"/>
  <c r="W301" i="4" l="1"/>
  <c r="M301" i="4"/>
  <c r="P301" i="4" s="1"/>
  <c r="Y301" i="4"/>
  <c r="N301" i="4"/>
  <c r="I301" i="4"/>
  <c r="E301" i="4"/>
  <c r="R301" i="4"/>
  <c r="Z301" i="4"/>
  <c r="F301" i="4" l="1"/>
  <c r="Q301" i="4"/>
  <c r="S301" i="4" s="1"/>
  <c r="T301" i="4" l="1"/>
  <c r="G301" i="4"/>
  <c r="X301" i="4"/>
  <c r="AA301" i="4" s="1"/>
  <c r="AB301" i="4" s="1"/>
  <c r="AC301" i="4"/>
  <c r="AI301" i="4" l="1"/>
  <c r="AD301" i="4"/>
  <c r="AE301" i="4" s="1"/>
  <c r="AG301" i="4"/>
  <c r="AF301" i="4"/>
  <c r="AH301" i="4" l="1"/>
  <c r="AJ301" i="4"/>
  <c r="G30" i="4" l="1"/>
  <c r="C29" i="4"/>
  <c r="G29" i="4" l="1"/>
  <c r="C30" i="4" l="1"/>
  <c r="C31" i="4" l="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IDB-IWHR" type="4" refreshedVersion="0" background="1">
    <webPr xml="1" sourceData="1" url="G:\test1.xml" htmlTables="1" htmlFormat="all"/>
  </connection>
  <connection id="2" xr16:uid="{00000000-0015-0000-FFFF-FFFF01000000}" name="test2" type="4" refreshedVersion="0" background="1">
    <webPr xml="1" sourceData="1" url="G:\test2.xml" htmlTables="1" htmlFormat="all"/>
  </connection>
  <connection id="3" xr16:uid="{00000000-0015-0000-FFFF-FFFF02000000}" name="test21" type="4" refreshedVersion="0" background="1">
    <webPr xml="1" sourceData="1" url="G:\test2.xml" htmlTables="1" htmlFormat="all"/>
  </connection>
  <connection id="4" xr16:uid="{00000000-0015-0000-FFFF-FFFF03000000}" name="test3" type="4" refreshedVersion="0" background="1">
    <webPr xml="1" sourceData="1" url="G:\test3.xml" htmlTables="1" htmlFormat="all"/>
  </connection>
  <connection id="5" xr16:uid="{00000000-0015-0000-FFFF-FFFF04000000}" name="test31" type="4" refreshedVersion="0" background="1">
    <webPr xml="1" sourceData="1" url="G:\test3.xml" htmlTables="1" htmlFormat="all"/>
  </connection>
</connections>
</file>

<file path=xl/sharedStrings.xml><?xml version="1.0" encoding="utf-8"?>
<sst xmlns="http://schemas.openxmlformats.org/spreadsheetml/2006/main" count="533" uniqueCount="392">
  <si>
    <t xml:space="preserve">                            Disclaimer: The author assumes No responsibility and makes no guarantees, expressed or implied, about its quality, reliability, or any other characteristic.</t>
  </si>
  <si>
    <r>
      <t>V</t>
    </r>
    <r>
      <rPr>
        <vertAlign val="subscript"/>
        <sz val="10.5"/>
        <rFont val="宋体"/>
        <family val="3"/>
        <charset val="134"/>
      </rPr>
      <t>c</t>
    </r>
  </si>
  <si>
    <r>
      <t>a</t>
    </r>
    <r>
      <rPr>
        <vertAlign val="subscript"/>
        <sz val="10.5"/>
        <rFont val="宋体"/>
        <family val="3"/>
        <charset val="134"/>
      </rPr>
      <t>2</t>
    </r>
  </si>
  <si>
    <r>
      <t>b</t>
    </r>
    <r>
      <rPr>
        <vertAlign val="subscript"/>
        <sz val="10.5"/>
        <rFont val="宋体"/>
        <family val="3"/>
        <charset val="134"/>
      </rPr>
      <t>2</t>
    </r>
  </si>
  <si>
    <r>
      <t>z</t>
    </r>
    <r>
      <rPr>
        <vertAlign val="subscript"/>
        <sz val="10.5"/>
        <rFont val="宋体"/>
        <family val="3"/>
        <charset val="134"/>
      </rPr>
      <t>c</t>
    </r>
  </si>
  <si>
    <t>B</t>
    <phoneticPr fontId="1" type="noConversion"/>
  </si>
  <si>
    <t>h</t>
    <phoneticPr fontId="1" type="noConversion"/>
  </si>
  <si>
    <t>mq</t>
    <phoneticPr fontId="1" type="noConversion"/>
  </si>
  <si>
    <t>mb</t>
    <phoneticPr fontId="1" type="noConversion"/>
  </si>
  <si>
    <t>g</t>
    <phoneticPr fontId="1" type="noConversion"/>
  </si>
  <si>
    <t>Vc</t>
    <phoneticPr fontId="1" type="noConversion"/>
  </si>
  <si>
    <t>mmqmb</t>
    <phoneticPr fontId="1" type="noConversion"/>
  </si>
  <si>
    <t>Hr</t>
    <phoneticPr fontId="1" type="noConversion"/>
  </si>
  <si>
    <t>Ho</t>
    <phoneticPr fontId="1" type="noConversion"/>
  </si>
  <si>
    <t>H1</t>
    <phoneticPr fontId="1" type="noConversion"/>
  </si>
  <si>
    <t>Vo</t>
    <phoneticPr fontId="1" type="noConversion"/>
  </si>
  <si>
    <t>Q</t>
    <phoneticPr fontId="1" type="noConversion"/>
  </si>
  <si>
    <t>dV</t>
    <phoneticPr fontId="1" type="noConversion"/>
  </si>
  <si>
    <t>Index</t>
    <phoneticPr fontId="1" type="noConversion"/>
  </si>
  <si>
    <t>V1</t>
    <phoneticPr fontId="1" type="noConversion"/>
  </si>
  <si>
    <t>Va1</t>
    <phoneticPr fontId="1" type="noConversion"/>
  </si>
  <si>
    <t>s1</t>
    <phoneticPr fontId="1" type="noConversion"/>
  </si>
  <si>
    <t>E1</t>
    <phoneticPr fontId="1" type="noConversion"/>
  </si>
  <si>
    <t>Tau1</t>
    <phoneticPr fontId="1" type="noConversion"/>
  </si>
  <si>
    <t>A1</t>
    <phoneticPr fontId="1" type="noConversion"/>
  </si>
  <si>
    <t>D1</t>
    <phoneticPr fontId="1" type="noConversion"/>
  </si>
  <si>
    <t>A/DE_1</t>
    <phoneticPr fontId="1" type="noConversion"/>
  </si>
  <si>
    <t>dz1</t>
    <phoneticPr fontId="1" type="noConversion"/>
  </si>
  <si>
    <t>V2</t>
    <phoneticPr fontId="1" type="noConversion"/>
  </si>
  <si>
    <t>Va2</t>
    <phoneticPr fontId="1" type="noConversion"/>
  </si>
  <si>
    <t>s2</t>
    <phoneticPr fontId="1" type="noConversion"/>
  </si>
  <si>
    <t>A2</t>
    <phoneticPr fontId="1" type="noConversion"/>
  </si>
  <si>
    <t>Tau2</t>
    <phoneticPr fontId="1" type="noConversion"/>
  </si>
  <si>
    <t>D2</t>
    <phoneticPr fontId="1" type="noConversion"/>
  </si>
  <si>
    <t>A/DE_2</t>
    <phoneticPr fontId="1" type="noConversion"/>
  </si>
  <si>
    <t>dz2</t>
    <phoneticPr fontId="1" type="noConversion"/>
  </si>
  <si>
    <t>dz</t>
    <phoneticPr fontId="1" type="noConversion"/>
  </si>
  <si>
    <t>z1</t>
    <phoneticPr fontId="1" type="noConversion"/>
  </si>
  <si>
    <t>dt</t>
    <phoneticPr fontId="1" type="noConversion"/>
  </si>
  <si>
    <t>T</t>
    <phoneticPr fontId="1" type="noConversion"/>
  </si>
  <si>
    <t>eq.(21)</t>
  </si>
  <si>
    <t>dv/dz</t>
    <phoneticPr fontId="1" type="noConversion"/>
  </si>
  <si>
    <t>d2z/dz2</t>
    <phoneticPr fontId="1" type="noConversion"/>
  </si>
  <si>
    <t>c2</t>
    <phoneticPr fontId="1" type="noConversion"/>
  </si>
  <si>
    <t>a2</t>
    <phoneticPr fontId="1" type="noConversion"/>
  </si>
  <si>
    <t>Qin</t>
    <phoneticPr fontId="1" type="noConversion"/>
  </si>
  <si>
    <t>b1</t>
    <phoneticPr fontId="1" type="noConversion"/>
  </si>
  <si>
    <t>b2</t>
    <phoneticPr fontId="1" type="noConversion"/>
  </si>
  <si>
    <t>m</t>
    <phoneticPr fontId="1" type="noConversion"/>
  </si>
  <si>
    <t>c1</t>
    <phoneticPr fontId="1" type="noConversion"/>
  </si>
  <si>
    <t>zc</t>
    <phoneticPr fontId="1" type="noConversion"/>
  </si>
  <si>
    <t>s/dz</t>
    <phoneticPr fontId="1" type="noConversion"/>
  </si>
  <si>
    <t>Sqrt(2g)</t>
    <phoneticPr fontId="1" type="noConversion"/>
  </si>
  <si>
    <t>m/s</t>
    <phoneticPr fontId="1" type="noConversion"/>
  </si>
  <si>
    <t>c1</t>
  </si>
  <si>
    <t>c2*mq*mb</t>
  </si>
  <si>
    <t>a1*2</t>
  </si>
  <si>
    <t>Dq</t>
  </si>
  <si>
    <t>m</t>
  </si>
  <si>
    <t>m3</t>
  </si>
  <si>
    <t>m/s</t>
  </si>
  <si>
    <t>Symbols</t>
    <phoneticPr fontId="1" type="noConversion"/>
  </si>
  <si>
    <t>Unit</t>
    <phoneticPr fontId="1" type="noConversion"/>
  </si>
  <si>
    <t>n</t>
    <phoneticPr fontId="1" type="noConversion"/>
  </si>
  <si>
    <t xml:space="preserve"> Copy Right：Chen ZuYu（Email：chenzuyu@cashq.ac.cn）</t>
    <phoneticPr fontId="1" type="noConversion"/>
  </si>
  <si>
    <t>W~H curve coefficient</t>
    <phoneticPr fontId="1" type="noConversion"/>
  </si>
  <si>
    <t>The incipient velocity,m/s</t>
    <phoneticPr fontId="1" type="noConversion"/>
  </si>
  <si>
    <t>Erosion coefficient</t>
    <phoneticPr fontId="1" type="noConversion"/>
  </si>
  <si>
    <t>H</t>
    <phoneticPr fontId="1" type="noConversion"/>
  </si>
  <si>
    <t>h</t>
  </si>
  <si>
    <t>h2</t>
  </si>
  <si>
    <t>W</t>
  </si>
  <si>
    <t>SUMMARY OUTPUT</t>
  </si>
  <si>
    <t>回归统计</t>
  </si>
  <si>
    <t>Multiple R</t>
  </si>
  <si>
    <t>R Square</t>
  </si>
  <si>
    <t>Adjusted R Square</t>
  </si>
  <si>
    <t>标准误差</t>
  </si>
  <si>
    <t>观测值</t>
  </si>
  <si>
    <t>方差分析</t>
  </si>
  <si>
    <t>回归分析</t>
  </si>
  <si>
    <t>残差</t>
  </si>
  <si>
    <t>总计</t>
  </si>
  <si>
    <t>Intercept</t>
  </si>
  <si>
    <t>df</t>
  </si>
  <si>
    <t>SS</t>
  </si>
  <si>
    <t>MS</t>
  </si>
  <si>
    <t>F</t>
  </si>
  <si>
    <t>Significance F</t>
  </si>
  <si>
    <t>Coefficients</t>
  </si>
  <si>
    <t>t Stat</t>
  </si>
  <si>
    <t>P-value</t>
  </si>
  <si>
    <t>Lower 95%</t>
  </si>
  <si>
    <t>Upper 95%</t>
  </si>
  <si>
    <t>X Variable 1</t>
  </si>
  <si>
    <t>X Variable 2</t>
  </si>
  <si>
    <t>RESIDUAL OUTPUT</t>
  </si>
  <si>
    <t>预测 Y</t>
  </si>
  <si>
    <t>标准残差</t>
  </si>
  <si>
    <t>Reservoir capacity</t>
    <phoneticPr fontId="1" type="noConversion"/>
  </si>
  <si>
    <t>water elevation</t>
    <phoneticPr fontId="1" type="noConversion"/>
  </si>
  <si>
    <r>
      <t>Q</t>
    </r>
    <r>
      <rPr>
        <b/>
        <vertAlign val="subscript"/>
        <sz val="11"/>
        <color theme="1"/>
        <rFont val="Times New Roman"/>
        <family val="1"/>
      </rPr>
      <t>in</t>
    </r>
  </si>
  <si>
    <t>H</t>
  </si>
  <si>
    <t>W (1000000m3)</t>
  </si>
  <si>
    <t>Methods</t>
  </si>
  <si>
    <t>Tc</t>
    <phoneticPr fontId="1" type="noConversion"/>
  </si>
  <si>
    <t>m-1</t>
    <phoneticPr fontId="1" type="noConversion"/>
  </si>
  <si>
    <t>Dam Breach Analysis DB-IWHR 2014</t>
    <phoneticPr fontId="1" type="noConversion"/>
  </si>
  <si>
    <t xml:space="preserve">       Disclaimer: The author assumes No responsibility and makes no guarantees, expressed or implied, about its quality, reliability, or any other characteristic.</t>
    <phoneticPr fontId="1" type="noConversion"/>
  </si>
  <si>
    <r>
      <t>The Breach Evolution of Avalanche Lake Spreadsheet(</t>
    </r>
    <r>
      <rPr>
        <b/>
        <sz val="24"/>
        <color theme="1"/>
        <rFont val="隶书"/>
        <family val="3"/>
        <charset val="134"/>
      </rPr>
      <t>V1.0)</t>
    </r>
    <phoneticPr fontId="1" type="noConversion"/>
  </si>
  <si>
    <t>Velocity Criteria</t>
  </si>
  <si>
    <t>Meyer Peter &amp; Muller</t>
  </si>
  <si>
    <t>Englund_Hense</t>
  </si>
  <si>
    <t>Du Boys</t>
  </si>
  <si>
    <t>Einstein-Brown</t>
  </si>
  <si>
    <t>h</t>
    <phoneticPr fontId="1" type="noConversion"/>
  </si>
  <si>
    <t>B</t>
    <phoneticPr fontId="1" type="noConversion"/>
  </si>
  <si>
    <t>Elevations of channel bed,m</t>
    <phoneticPr fontId="1" type="noConversion"/>
  </si>
  <si>
    <t>Erosion coefficient</t>
    <phoneticPr fontId="1" type="noConversion"/>
  </si>
  <si>
    <r>
      <t>m</t>
    </r>
    <r>
      <rPr>
        <vertAlign val="superscript"/>
        <sz val="11"/>
        <color theme="1"/>
        <rFont val="Times New Roman"/>
        <family val="1"/>
      </rPr>
      <t>3</t>
    </r>
    <r>
      <rPr>
        <sz val="11"/>
        <color theme="1"/>
        <rFont val="Times New Roman"/>
        <family val="1"/>
      </rPr>
      <t>/s</t>
    </r>
  </si>
  <si>
    <r>
      <t>Z</t>
    </r>
    <r>
      <rPr>
        <sz val="9"/>
        <rFont val="Times New Roman"/>
        <family val="1"/>
      </rPr>
      <t>0</t>
    </r>
  </si>
  <si>
    <r>
      <t>B</t>
    </r>
    <r>
      <rPr>
        <b/>
        <sz val="11"/>
        <color theme="1"/>
        <rFont val="宋体"/>
        <family val="2"/>
      </rPr>
      <t>平均</t>
    </r>
    <phoneticPr fontId="1" type="noConversion"/>
  </si>
  <si>
    <t>m</t>
    <phoneticPr fontId="1" type="noConversion"/>
  </si>
  <si>
    <t>The formula</t>
    <phoneticPr fontId="1" type="noConversion"/>
  </si>
  <si>
    <t>eq. (22)</t>
    <phoneticPr fontId="1" type="noConversion"/>
  </si>
  <si>
    <t>eq.(24)</t>
    <phoneticPr fontId="1" type="noConversion"/>
  </si>
  <si>
    <t>Initial value</t>
    <phoneticPr fontId="1" type="noConversion"/>
  </si>
  <si>
    <t>SumQin</t>
    <phoneticPr fontId="1" type="noConversion"/>
  </si>
  <si>
    <t>loss of storage</t>
    <phoneticPr fontId="1" type="noConversion"/>
  </si>
  <si>
    <t>inflow</t>
    <phoneticPr fontId="1" type="noConversion"/>
  </si>
  <si>
    <t>Outflow</t>
    <phoneticPr fontId="1" type="noConversion"/>
  </si>
  <si>
    <t>Elevation, begin</t>
    <phoneticPr fontId="1" type="noConversion"/>
  </si>
  <si>
    <t>Elevatiob end</t>
    <phoneticPr fontId="1" type="noConversion"/>
  </si>
  <si>
    <t>Error</t>
    <phoneticPr fontId="1" type="noConversion"/>
  </si>
  <si>
    <t>Balance Check</t>
    <phoneticPr fontId="1" type="noConversion"/>
  </si>
  <si>
    <t>n</t>
    <phoneticPr fontId="1" type="noConversion"/>
  </si>
  <si>
    <t>Row number</t>
    <phoneticPr fontId="1" type="noConversion"/>
  </si>
  <si>
    <t>error</t>
    <phoneticPr fontId="1" type="noConversion"/>
  </si>
  <si>
    <t xml:space="preserve"> Copy Right：Chen ZuYu（Email：chenzuyu@cashq.ac.cn）</t>
    <phoneticPr fontId="1" type="noConversion"/>
  </si>
  <si>
    <t xml:space="preserve">                            Disclaimer: The author assumes No responsibility and makes no guarantees, expressed or implied, about its quality, reliability, or any other characteristic.</t>
    <phoneticPr fontId="1" type="noConversion"/>
  </si>
  <si>
    <r>
      <t>Z</t>
    </r>
    <r>
      <rPr>
        <vertAlign val="subscript"/>
        <sz val="9"/>
        <rFont val="宋体"/>
        <family val="3"/>
        <charset val="134"/>
      </rPr>
      <t>0</t>
    </r>
  </si>
  <si>
    <r>
      <t>Q</t>
    </r>
    <r>
      <rPr>
        <vertAlign val="subscript"/>
        <sz val="10.5"/>
        <rFont val="宋体"/>
        <family val="3"/>
        <charset val="134"/>
      </rPr>
      <t>in</t>
    </r>
  </si>
  <si>
    <r>
      <t>Inflow flow,m</t>
    </r>
    <r>
      <rPr>
        <vertAlign val="superscript"/>
        <sz val="8"/>
        <rFont val="宋体"/>
        <family val="3"/>
        <charset val="134"/>
      </rPr>
      <t>3</t>
    </r>
    <r>
      <rPr>
        <sz val="8"/>
        <rFont val="宋体"/>
        <family val="3"/>
        <charset val="134"/>
      </rPr>
      <t>/s</t>
    </r>
    <phoneticPr fontId="1" type="noConversion"/>
  </si>
  <si>
    <r>
      <t>H</t>
    </r>
    <r>
      <rPr>
        <vertAlign val="subscript"/>
        <sz val="10.5"/>
        <rFont val="宋体"/>
        <family val="3"/>
        <charset val="134"/>
      </rPr>
      <t>r</t>
    </r>
  </si>
  <si>
    <t>Elevations of dead Water,m</t>
    <phoneticPr fontId="1" type="noConversion"/>
  </si>
  <si>
    <t>Stage</t>
  </si>
  <si>
    <t>Bottom fh (m)</t>
  </si>
  <si>
    <t>Breach  B (m)</t>
  </si>
  <si>
    <t>Center</t>
  </si>
  <si>
    <t>Toe of Slope</t>
  </si>
  <si>
    <t>x</t>
  </si>
  <si>
    <t>y</t>
  </si>
  <si>
    <t>-</t>
  </si>
  <si>
    <r>
      <t>a</t>
    </r>
    <r>
      <rPr>
        <vertAlign val="subscript"/>
        <sz val="10.5"/>
        <rFont val="宋体"/>
        <family val="3"/>
        <charset val="134"/>
      </rPr>
      <t>1</t>
    </r>
  </si>
  <si>
    <t>W~H curve coefficient</t>
    <phoneticPr fontId="1" type="noConversion"/>
  </si>
  <si>
    <r>
      <t>b</t>
    </r>
    <r>
      <rPr>
        <vertAlign val="subscript"/>
        <sz val="10.5"/>
        <rFont val="宋体"/>
        <family val="3"/>
        <charset val="134"/>
      </rPr>
      <t>1</t>
    </r>
  </si>
  <si>
    <t>W~H curve coefficient</t>
    <phoneticPr fontId="1" type="noConversion"/>
  </si>
  <si>
    <r>
      <t>c</t>
    </r>
    <r>
      <rPr>
        <vertAlign val="subscript"/>
        <sz val="10.5"/>
        <rFont val="宋体"/>
        <family val="3"/>
        <charset val="134"/>
      </rPr>
      <t>1</t>
    </r>
  </si>
  <si>
    <t>W~H curve coefficient</t>
    <phoneticPr fontId="1" type="noConversion"/>
  </si>
  <si>
    <t xml:space="preserve">   Note: obtained by water storage capacity curve worksheet</t>
    <phoneticPr fontId="1" type="noConversion"/>
  </si>
  <si>
    <r>
      <t>m</t>
    </r>
    <r>
      <rPr>
        <vertAlign val="subscript"/>
        <sz val="10.5"/>
        <rFont val="宋体"/>
        <family val="3"/>
        <charset val="134"/>
      </rPr>
      <t>q</t>
    </r>
  </si>
  <si>
    <t>Broad-crested weir flow coefficient</t>
    <phoneticPr fontId="1" type="noConversion"/>
  </si>
  <si>
    <r>
      <t>m</t>
    </r>
    <r>
      <rPr>
        <vertAlign val="subscript"/>
        <sz val="10.5"/>
        <rFont val="宋体"/>
        <family val="3"/>
        <charset val="134"/>
      </rPr>
      <t>b</t>
    </r>
  </si>
  <si>
    <t>Lateral shrinkage coefficient</t>
    <phoneticPr fontId="1" type="noConversion"/>
  </si>
  <si>
    <t>Ratio of tailwater</t>
    <phoneticPr fontId="1" type="noConversion"/>
  </si>
  <si>
    <t>The incipient velocity,m/s</t>
    <phoneticPr fontId="1" type="noConversion"/>
  </si>
  <si>
    <t>Erosion coefficient</t>
    <phoneticPr fontId="1" type="noConversion"/>
  </si>
  <si>
    <t xml:space="preserve">表  1 </t>
    <phoneticPr fontId="1" type="noConversion"/>
  </si>
  <si>
    <r>
      <t>Q</t>
    </r>
    <r>
      <rPr>
        <vertAlign val="subscript"/>
        <sz val="11"/>
        <rFont val="宋体"/>
        <family val="3"/>
        <charset val="134"/>
        <scheme val="minor"/>
      </rPr>
      <t>p</t>
    </r>
  </si>
  <si>
    <r>
      <t>m</t>
    </r>
    <r>
      <rPr>
        <vertAlign val="superscript"/>
        <sz val="11"/>
        <color theme="1"/>
        <rFont val="宋体"/>
        <family val="3"/>
        <charset val="134"/>
        <scheme val="minor"/>
      </rPr>
      <t>3</t>
    </r>
    <r>
      <rPr>
        <sz val="11"/>
        <color theme="1"/>
        <rFont val="宋体"/>
        <family val="2"/>
        <charset val="134"/>
        <scheme val="minor"/>
      </rPr>
      <t>/s</t>
    </r>
  </si>
  <si>
    <t>The peak flow</t>
    <phoneticPr fontId="1" type="noConversion"/>
  </si>
  <si>
    <r>
      <t>t</t>
    </r>
    <r>
      <rPr>
        <vertAlign val="subscript"/>
        <sz val="11"/>
        <color theme="1"/>
        <rFont val="宋体"/>
        <family val="3"/>
        <charset val="134"/>
        <scheme val="minor"/>
      </rPr>
      <t>p</t>
    </r>
  </si>
  <si>
    <t>The peak time</t>
    <phoneticPr fontId="1" type="noConversion"/>
  </si>
  <si>
    <t>图  1</t>
    <phoneticPr fontId="1" type="noConversion"/>
  </si>
  <si>
    <t>图  2</t>
    <phoneticPr fontId="1" type="noConversion"/>
  </si>
  <si>
    <t>Tc</t>
    <phoneticPr fontId="1" type="noConversion"/>
  </si>
  <si>
    <r>
      <t>Z</t>
    </r>
    <r>
      <rPr>
        <sz val="9"/>
        <rFont val="宋体"/>
        <family val="3"/>
        <charset val="134"/>
      </rPr>
      <t>0</t>
    </r>
  </si>
  <si>
    <t>Hr</t>
    <phoneticPr fontId="1" type="noConversion"/>
  </si>
  <si>
    <t>Ho</t>
    <phoneticPr fontId="1" type="noConversion"/>
  </si>
  <si>
    <t>Vc</t>
    <phoneticPr fontId="1" type="noConversion"/>
  </si>
  <si>
    <t>mq</t>
    <phoneticPr fontId="1" type="noConversion"/>
  </si>
  <si>
    <t>c2</t>
    <phoneticPr fontId="1" type="noConversion"/>
  </si>
  <si>
    <t>B</t>
    <phoneticPr fontId="1" type="noConversion"/>
  </si>
  <si>
    <t>H1</t>
    <phoneticPr fontId="1" type="noConversion"/>
  </si>
  <si>
    <t>a2</t>
    <phoneticPr fontId="1" type="noConversion"/>
  </si>
  <si>
    <t>mb</t>
    <phoneticPr fontId="1" type="noConversion"/>
  </si>
  <si>
    <t>Qin</t>
    <phoneticPr fontId="1" type="noConversion"/>
  </si>
  <si>
    <t>b1</t>
    <phoneticPr fontId="1" type="noConversion"/>
  </si>
  <si>
    <t>b2</t>
    <phoneticPr fontId="1" type="noConversion"/>
  </si>
  <si>
    <t>g</t>
    <phoneticPr fontId="1" type="noConversion"/>
  </si>
  <si>
    <t>zc</t>
    <phoneticPr fontId="1" type="noConversion"/>
  </si>
  <si>
    <t>m-1</t>
    <phoneticPr fontId="1" type="noConversion"/>
  </si>
  <si>
    <t>Symbols</t>
    <phoneticPr fontId="1" type="noConversion"/>
  </si>
  <si>
    <t>zo</t>
    <phoneticPr fontId="1" type="noConversion"/>
  </si>
  <si>
    <t>B平均</t>
    <phoneticPr fontId="1" type="noConversion"/>
  </si>
  <si>
    <t>Q</t>
    <phoneticPr fontId="1" type="noConversion"/>
  </si>
  <si>
    <t>dV</t>
    <phoneticPr fontId="1" type="noConversion"/>
  </si>
  <si>
    <t>Index</t>
    <phoneticPr fontId="1" type="noConversion"/>
  </si>
  <si>
    <t>V1</t>
    <phoneticPr fontId="1" type="noConversion"/>
  </si>
  <si>
    <t>Va1</t>
    <phoneticPr fontId="1" type="noConversion"/>
  </si>
  <si>
    <t>s1</t>
    <phoneticPr fontId="1" type="noConversion"/>
  </si>
  <si>
    <t>E1</t>
    <phoneticPr fontId="1" type="noConversion"/>
  </si>
  <si>
    <t>A1</t>
    <phoneticPr fontId="1" type="noConversion"/>
  </si>
  <si>
    <t>D1</t>
    <phoneticPr fontId="1" type="noConversion"/>
  </si>
  <si>
    <t>A/DE_1</t>
    <phoneticPr fontId="1" type="noConversion"/>
  </si>
  <si>
    <t>dz1</t>
    <phoneticPr fontId="1" type="noConversion"/>
  </si>
  <si>
    <t>V2</t>
    <phoneticPr fontId="1" type="noConversion"/>
  </si>
  <si>
    <t>Va2</t>
    <phoneticPr fontId="1" type="noConversion"/>
  </si>
  <si>
    <t>s2</t>
    <phoneticPr fontId="1" type="noConversion"/>
  </si>
  <si>
    <t>A2</t>
    <phoneticPr fontId="1" type="noConversion"/>
  </si>
  <si>
    <t>Tau2</t>
    <phoneticPr fontId="1" type="noConversion"/>
  </si>
  <si>
    <t>D2</t>
    <phoneticPr fontId="1" type="noConversion"/>
  </si>
  <si>
    <t>A/DE_2</t>
    <phoneticPr fontId="1" type="noConversion"/>
  </si>
  <si>
    <t>dz2</t>
    <phoneticPr fontId="1" type="noConversion"/>
  </si>
  <si>
    <t>dz</t>
    <phoneticPr fontId="1" type="noConversion"/>
  </si>
  <si>
    <t>dv/dz</t>
    <phoneticPr fontId="1" type="noConversion"/>
  </si>
  <si>
    <t>d2z/dz2</t>
    <phoneticPr fontId="1" type="noConversion"/>
  </si>
  <si>
    <t>z1</t>
    <phoneticPr fontId="1" type="noConversion"/>
  </si>
  <si>
    <t>dt</t>
    <phoneticPr fontId="1" type="noConversion"/>
  </si>
  <si>
    <t>T</t>
    <phoneticPr fontId="1" type="noConversion"/>
  </si>
  <si>
    <t>m/s</t>
    <phoneticPr fontId="1" type="noConversion"/>
  </si>
  <si>
    <t>eq.(24)</t>
    <phoneticPr fontId="1" type="noConversion"/>
  </si>
  <si>
    <t>Initial value</t>
    <phoneticPr fontId="1" type="noConversion"/>
  </si>
  <si>
    <r>
      <t>Sum</t>
    </r>
    <r>
      <rPr>
        <b/>
        <sz val="11"/>
        <color theme="1"/>
        <rFont val="宋体"/>
        <family val="2"/>
        <scheme val="minor"/>
      </rPr>
      <t>Q</t>
    </r>
    <r>
      <rPr>
        <b/>
        <sz val="9"/>
        <color theme="1"/>
        <rFont val="宋体"/>
        <family val="3"/>
        <charset val="134"/>
        <scheme val="minor"/>
      </rPr>
      <t>out</t>
    </r>
    <phoneticPr fontId="1" type="noConversion"/>
  </si>
  <si>
    <t>Do not modify the cells filling with pink</t>
    <phoneticPr fontId="1" type="noConversion"/>
  </si>
  <si>
    <t>指数模型</t>
    <phoneticPr fontId="1" type="noConversion"/>
  </si>
  <si>
    <r>
      <t xml:space="preserve">DB-Excel 2014 </t>
    </r>
    <r>
      <rPr>
        <sz val="11"/>
        <color theme="0" tint="-0.14999847407452621"/>
        <rFont val="宋体"/>
        <family val="3"/>
        <charset val="134"/>
      </rPr>
      <t>角度版</t>
    </r>
    <phoneticPr fontId="1" type="noConversion"/>
  </si>
  <si>
    <r>
      <t xml:space="preserve">DB-Excel 2014 </t>
    </r>
    <r>
      <rPr>
        <sz val="11"/>
        <color theme="0" tint="-0.14999847407452621"/>
        <rFont val="宋体"/>
        <family val="3"/>
        <charset val="134"/>
      </rPr>
      <t>论文版</t>
    </r>
    <phoneticPr fontId="1" type="noConversion"/>
  </si>
  <si>
    <t>υ</t>
    <phoneticPr fontId="1" type="noConversion"/>
  </si>
  <si>
    <t>L</t>
    <phoneticPr fontId="1" type="noConversion"/>
  </si>
  <si>
    <t>n</t>
    <phoneticPr fontId="1" type="noConversion"/>
  </si>
  <si>
    <r>
      <t>H</t>
    </r>
    <r>
      <rPr>
        <i/>
        <vertAlign val="subscript"/>
        <sz val="10.5"/>
        <rFont val="Times New Roman"/>
        <family val="1"/>
      </rPr>
      <t>r</t>
    </r>
  </si>
  <si>
    <r>
      <t>m</t>
    </r>
    <r>
      <rPr>
        <i/>
        <vertAlign val="subscript"/>
        <sz val="10.5"/>
        <rFont val="Times New Roman"/>
        <family val="1"/>
      </rPr>
      <t>q</t>
    </r>
  </si>
  <si>
    <r>
      <t>m</t>
    </r>
    <r>
      <rPr>
        <i/>
        <vertAlign val="subscript"/>
        <sz val="10.5"/>
        <rFont val="Times New Roman"/>
        <family val="1"/>
      </rPr>
      <t>b</t>
    </r>
  </si>
  <si>
    <t>m</t>
    <phoneticPr fontId="1" type="noConversion"/>
  </si>
  <si>
    <r>
      <t>V</t>
    </r>
    <r>
      <rPr>
        <i/>
        <vertAlign val="subscript"/>
        <sz val="10.5"/>
        <rFont val="Times New Roman"/>
        <family val="1"/>
      </rPr>
      <t>c</t>
    </r>
  </si>
  <si>
    <r>
      <t>τ</t>
    </r>
    <r>
      <rPr>
        <i/>
        <vertAlign val="subscript"/>
        <sz val="10.5"/>
        <rFont val="Times New Roman"/>
        <family val="1"/>
      </rPr>
      <t>c</t>
    </r>
    <phoneticPr fontId="1" type="noConversion"/>
  </si>
  <si>
    <t>a</t>
    <phoneticPr fontId="1" type="noConversion"/>
  </si>
  <si>
    <t>b</t>
    <phoneticPr fontId="1" type="noConversion"/>
  </si>
  <si>
    <t>Balance</t>
    <phoneticPr fontId="1" type="noConversion"/>
  </si>
  <si>
    <r>
      <t>z</t>
    </r>
    <r>
      <rPr>
        <i/>
        <vertAlign val="subscript"/>
        <sz val="9"/>
        <rFont val="Times New Roman"/>
        <family val="1"/>
      </rPr>
      <t>0</t>
    </r>
    <phoneticPr fontId="1" type="noConversion"/>
  </si>
  <si>
    <r>
      <t>B</t>
    </r>
    <r>
      <rPr>
        <i/>
        <sz val="6"/>
        <rFont val="Times New Roman"/>
        <family val="1"/>
      </rPr>
      <t>0</t>
    </r>
    <phoneticPr fontId="1" type="noConversion"/>
  </si>
  <si>
    <r>
      <t>D</t>
    </r>
    <r>
      <rPr>
        <i/>
        <vertAlign val="subscript"/>
        <sz val="11"/>
        <color theme="1"/>
        <rFont val="Times New Roman"/>
        <family val="1"/>
      </rPr>
      <t>50</t>
    </r>
    <phoneticPr fontId="1" type="noConversion"/>
  </si>
  <si>
    <r>
      <t>ρ</t>
    </r>
    <r>
      <rPr>
        <i/>
        <vertAlign val="subscript"/>
        <sz val="9.35"/>
        <color theme="1"/>
        <rFont val="Times New Roman"/>
        <family val="1"/>
      </rPr>
      <t>s</t>
    </r>
    <phoneticPr fontId="1" type="noConversion"/>
  </si>
  <si>
    <r>
      <t>p</t>
    </r>
    <r>
      <rPr>
        <i/>
        <vertAlign val="subscript"/>
        <sz val="10.5"/>
        <rFont val="Times New Roman"/>
        <family val="1"/>
      </rPr>
      <t>1</t>
    </r>
    <phoneticPr fontId="1" type="noConversion"/>
  </si>
  <si>
    <r>
      <t>p</t>
    </r>
    <r>
      <rPr>
        <i/>
        <vertAlign val="subscript"/>
        <sz val="10.5"/>
        <rFont val="Times New Roman"/>
        <family val="1"/>
      </rPr>
      <t>2</t>
    </r>
    <phoneticPr fontId="1" type="noConversion"/>
  </si>
  <si>
    <r>
      <t>p</t>
    </r>
    <r>
      <rPr>
        <i/>
        <vertAlign val="subscript"/>
        <sz val="10.5"/>
        <rFont val="Times New Roman"/>
        <family val="1"/>
      </rPr>
      <t>3</t>
    </r>
    <phoneticPr fontId="1" type="noConversion"/>
  </si>
  <si>
    <r>
      <t xml:space="preserve">  H</t>
    </r>
    <r>
      <rPr>
        <i/>
        <vertAlign val="subscript"/>
        <sz val="8"/>
        <rFont val="Times New Roman"/>
        <family val="1"/>
      </rPr>
      <t>0</t>
    </r>
    <phoneticPr fontId="1" type="noConversion"/>
  </si>
  <si>
    <r>
      <t>Q</t>
    </r>
    <r>
      <rPr>
        <i/>
        <vertAlign val="subscript"/>
        <sz val="11"/>
        <rFont val="Times New Roman"/>
        <family val="1"/>
      </rPr>
      <t>p</t>
    </r>
  </si>
  <si>
    <r>
      <t>t</t>
    </r>
    <r>
      <rPr>
        <i/>
        <vertAlign val="subscript"/>
        <sz val="11"/>
        <color theme="1"/>
        <rFont val="Times New Roman"/>
        <family val="1"/>
      </rPr>
      <t>p</t>
    </r>
  </si>
  <si>
    <r>
      <t>G</t>
    </r>
    <r>
      <rPr>
        <i/>
        <vertAlign val="subscript"/>
        <sz val="11"/>
        <rFont val="Times New Roman"/>
        <family val="1"/>
      </rPr>
      <t>s</t>
    </r>
    <phoneticPr fontId="1" type="noConversion"/>
  </si>
  <si>
    <r>
      <t>h</t>
    </r>
    <r>
      <rPr>
        <i/>
        <vertAlign val="subscript"/>
        <sz val="11"/>
        <rFont val="Times New Roman"/>
        <family val="1"/>
      </rPr>
      <t>1</t>
    </r>
    <phoneticPr fontId="1" type="noConversion"/>
  </si>
  <si>
    <r>
      <t>h</t>
    </r>
    <r>
      <rPr>
        <i/>
        <vertAlign val="subscript"/>
        <sz val="11"/>
        <rFont val="Times New Roman"/>
        <family val="1"/>
      </rPr>
      <t>2</t>
    </r>
    <phoneticPr fontId="1" type="noConversion"/>
  </si>
  <si>
    <r>
      <t>h</t>
    </r>
    <r>
      <rPr>
        <i/>
        <vertAlign val="subscript"/>
        <sz val="11"/>
        <rFont val="Times New Roman"/>
        <family val="1"/>
      </rPr>
      <t>3</t>
    </r>
  </si>
  <si>
    <r>
      <t>W (1000000m</t>
    </r>
    <r>
      <rPr>
        <vertAlign val="superscript"/>
        <sz val="11"/>
        <rFont val="Times New Roman"/>
        <family val="1"/>
      </rPr>
      <t>3</t>
    </r>
    <r>
      <rPr>
        <sz val="11"/>
        <rFont val="Times New Roman"/>
        <family val="1"/>
      </rPr>
      <t>)</t>
    </r>
    <phoneticPr fontId="1" type="noConversion"/>
  </si>
  <si>
    <r>
      <t xml:space="preserve">Elevations of dead Water </t>
    </r>
    <r>
      <rPr>
        <i/>
        <sz val="12"/>
        <rFont val="Times New Roman"/>
        <family val="1"/>
      </rPr>
      <t>H</t>
    </r>
    <r>
      <rPr>
        <i/>
        <vertAlign val="subscript"/>
        <sz val="12"/>
        <rFont val="Times New Roman"/>
        <family val="1"/>
      </rPr>
      <t xml:space="preserve">r </t>
    </r>
    <r>
      <rPr>
        <sz val="12"/>
        <rFont val="Times New Roman"/>
        <family val="1"/>
      </rPr>
      <t>(m)</t>
    </r>
    <phoneticPr fontId="1" type="noConversion"/>
  </si>
  <si>
    <r>
      <t>p</t>
    </r>
    <r>
      <rPr>
        <i/>
        <vertAlign val="subscript"/>
        <sz val="12"/>
        <rFont val="Times New Roman"/>
        <family val="1"/>
      </rPr>
      <t>1</t>
    </r>
    <phoneticPr fontId="1" type="noConversion"/>
  </si>
  <si>
    <r>
      <t>p</t>
    </r>
    <r>
      <rPr>
        <i/>
        <vertAlign val="subscript"/>
        <sz val="12"/>
        <rFont val="Times New Roman"/>
        <family val="1"/>
      </rPr>
      <t>2</t>
    </r>
    <phoneticPr fontId="1" type="noConversion"/>
  </si>
  <si>
    <r>
      <t>p</t>
    </r>
    <r>
      <rPr>
        <i/>
        <vertAlign val="subscript"/>
        <sz val="12"/>
        <rFont val="Times New Roman"/>
        <family val="1"/>
      </rPr>
      <t>3</t>
    </r>
    <phoneticPr fontId="1" type="noConversion"/>
  </si>
  <si>
    <r>
      <t>W</t>
    </r>
    <r>
      <rPr>
        <i/>
        <vertAlign val="subscript"/>
        <sz val="11"/>
        <rFont val="Times New Roman"/>
        <family val="1"/>
      </rPr>
      <t>1</t>
    </r>
    <phoneticPr fontId="1" type="noConversion"/>
  </si>
  <si>
    <r>
      <t>W</t>
    </r>
    <r>
      <rPr>
        <i/>
        <vertAlign val="subscript"/>
        <sz val="11"/>
        <rFont val="Times New Roman"/>
        <family val="1"/>
      </rPr>
      <t>2</t>
    </r>
    <phoneticPr fontId="1" type="noConversion"/>
  </si>
  <si>
    <r>
      <t>W</t>
    </r>
    <r>
      <rPr>
        <i/>
        <vertAlign val="subscript"/>
        <sz val="11"/>
        <rFont val="Times New Roman"/>
        <family val="1"/>
      </rPr>
      <t>3</t>
    </r>
    <phoneticPr fontId="1" type="noConversion"/>
  </si>
  <si>
    <r>
      <t>W=p</t>
    </r>
    <r>
      <rPr>
        <b/>
        <vertAlign val="subscript"/>
        <sz val="16"/>
        <color theme="1"/>
        <rFont val="宋体"/>
        <family val="3"/>
        <charset val="134"/>
        <scheme val="minor"/>
      </rPr>
      <t>1</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t>
    </r>
    <r>
      <rPr>
        <b/>
        <vertAlign val="superscript"/>
        <sz val="16"/>
        <color theme="1"/>
        <rFont val="宋体"/>
        <family val="3"/>
        <charset val="134"/>
        <scheme val="minor"/>
      </rPr>
      <t>2</t>
    </r>
    <r>
      <rPr>
        <b/>
        <sz val="16"/>
        <color theme="1"/>
        <rFont val="宋体"/>
        <family val="3"/>
        <charset val="134"/>
        <scheme val="minor"/>
      </rPr>
      <t>+p</t>
    </r>
    <r>
      <rPr>
        <b/>
        <vertAlign val="subscript"/>
        <sz val="16"/>
        <color theme="1"/>
        <rFont val="宋体"/>
        <family val="3"/>
        <charset val="134"/>
        <scheme val="minor"/>
      </rPr>
      <t>2</t>
    </r>
    <r>
      <rPr>
        <b/>
        <sz val="16"/>
        <color theme="1"/>
        <rFont val="宋体"/>
        <family val="3"/>
        <charset val="134"/>
        <scheme val="minor"/>
      </rPr>
      <t>(H-H</t>
    </r>
    <r>
      <rPr>
        <b/>
        <vertAlign val="subscript"/>
        <sz val="16"/>
        <color theme="1"/>
        <rFont val="宋体"/>
        <family val="3"/>
        <charset val="134"/>
        <scheme val="minor"/>
      </rPr>
      <t>r</t>
    </r>
    <r>
      <rPr>
        <b/>
        <sz val="16"/>
        <color theme="1"/>
        <rFont val="宋体"/>
        <family val="3"/>
        <charset val="134"/>
        <scheme val="minor"/>
      </rPr>
      <t>)+p</t>
    </r>
    <r>
      <rPr>
        <b/>
        <vertAlign val="subscript"/>
        <sz val="16"/>
        <color theme="1"/>
        <rFont val="宋体"/>
        <family val="3"/>
        <charset val="134"/>
        <scheme val="minor"/>
      </rPr>
      <t>3</t>
    </r>
    <phoneticPr fontId="1" type="noConversion"/>
  </si>
  <si>
    <t>z'</t>
    <phoneticPr fontId="1" type="noConversion"/>
  </si>
  <si>
    <t>s</t>
    <phoneticPr fontId="1" type="noConversion"/>
  </si>
  <si>
    <t>h</t>
    <phoneticPr fontId="1" type="noConversion"/>
  </si>
  <si>
    <t>m/s</t>
    <phoneticPr fontId="1" type="noConversion"/>
  </si>
  <si>
    <r>
      <t>10</t>
    </r>
    <r>
      <rPr>
        <vertAlign val="superscript"/>
        <sz val="11"/>
        <rFont val="宋体"/>
        <family val="3"/>
        <charset val="134"/>
        <scheme val="minor"/>
      </rPr>
      <t>6</t>
    </r>
    <r>
      <rPr>
        <sz val="11"/>
        <rFont val="宋体"/>
        <family val="2"/>
        <charset val="134"/>
        <scheme val="minor"/>
      </rPr>
      <t>m</t>
    </r>
    <phoneticPr fontId="1" type="noConversion"/>
  </si>
  <si>
    <t>Lateral enlargement for the hyperbolic model</t>
    <phoneticPr fontId="1" type="noConversion"/>
  </si>
  <si>
    <t>Figure 2</t>
    <phoneticPr fontId="1" type="noConversion"/>
  </si>
  <si>
    <t>Figure 1</t>
    <phoneticPr fontId="1" type="noConversion"/>
  </si>
  <si>
    <t>γ</t>
    <phoneticPr fontId="1" type="noConversion"/>
  </si>
  <si>
    <r>
      <t>m</t>
    </r>
    <r>
      <rPr>
        <i/>
        <vertAlign val="subscript"/>
        <sz val="11"/>
        <rFont val="Times New Roman"/>
        <family val="1"/>
      </rPr>
      <t>1</t>
    </r>
    <phoneticPr fontId="1" type="noConversion"/>
  </si>
  <si>
    <r>
      <t>m</t>
    </r>
    <r>
      <rPr>
        <i/>
        <vertAlign val="subscript"/>
        <sz val="11"/>
        <rFont val="Times New Roman"/>
        <family val="1"/>
      </rPr>
      <t>2</t>
    </r>
    <phoneticPr fontId="1" type="noConversion"/>
  </si>
  <si>
    <r>
      <t>z</t>
    </r>
    <r>
      <rPr>
        <i/>
        <vertAlign val="subscript"/>
        <sz val="11"/>
        <rFont val="Times New Roman"/>
        <family val="1"/>
      </rPr>
      <t>0</t>
    </r>
    <phoneticPr fontId="1" type="noConversion"/>
  </si>
  <si>
    <r>
      <t>H</t>
    </r>
    <r>
      <rPr>
        <i/>
        <vertAlign val="subscript"/>
        <sz val="11"/>
        <rFont val="Times New Roman"/>
        <family val="1"/>
      </rPr>
      <t>r</t>
    </r>
  </si>
  <si>
    <r>
      <t>V</t>
    </r>
    <r>
      <rPr>
        <i/>
        <vertAlign val="subscript"/>
        <sz val="11"/>
        <rFont val="Times New Roman"/>
        <family val="1"/>
      </rPr>
      <t>c</t>
    </r>
  </si>
  <si>
    <t>..</t>
    <phoneticPr fontId="1" type="noConversion"/>
  </si>
  <si>
    <t>C</t>
    <phoneticPr fontId="1" type="noConversion"/>
  </si>
  <si>
    <t>c</t>
    <phoneticPr fontId="1" type="noConversion"/>
  </si>
  <si>
    <r>
      <t>β</t>
    </r>
    <r>
      <rPr>
        <i/>
        <vertAlign val="subscript"/>
        <sz val="11"/>
        <rFont val="Times New Roman"/>
        <family val="1"/>
      </rPr>
      <t>0</t>
    </r>
    <phoneticPr fontId="1" type="noConversion"/>
  </si>
  <si>
    <t>W</t>
    <phoneticPr fontId="1" type="noConversion"/>
  </si>
  <si>
    <r>
      <t>10</t>
    </r>
    <r>
      <rPr>
        <vertAlign val="superscript"/>
        <sz val="11"/>
        <rFont val="Times New Roman"/>
        <family val="1"/>
      </rPr>
      <t>6</t>
    </r>
    <r>
      <rPr>
        <sz val="11"/>
        <rFont val="Times New Roman"/>
        <family val="1"/>
      </rPr>
      <t>m</t>
    </r>
    <r>
      <rPr>
        <vertAlign val="superscript"/>
        <sz val="11"/>
        <rFont val="Times New Roman"/>
        <family val="1"/>
      </rPr>
      <t>3</t>
    </r>
    <phoneticPr fontId="1" type="noConversion"/>
  </si>
  <si>
    <t>q</t>
    <phoneticPr fontId="1" type="noConversion"/>
  </si>
  <si>
    <r>
      <t>h</t>
    </r>
    <r>
      <rPr>
        <i/>
        <vertAlign val="subscript"/>
        <sz val="11"/>
        <rFont val="Times New Roman"/>
        <family val="1"/>
      </rPr>
      <t>3</t>
    </r>
    <phoneticPr fontId="1" type="noConversion"/>
  </si>
  <si>
    <t>φ</t>
    <phoneticPr fontId="1" type="noConversion"/>
  </si>
  <si>
    <t>q</t>
    <phoneticPr fontId="1" type="noConversion"/>
  </si>
  <si>
    <r>
      <t>The Breach Evolution of Avalanche Lake Spreadsheet(</t>
    </r>
    <r>
      <rPr>
        <b/>
        <sz val="24"/>
        <color theme="1"/>
        <rFont val="Times New Roman"/>
        <family val="1"/>
      </rPr>
      <t>V1.0)</t>
    </r>
    <phoneticPr fontId="1" type="noConversion"/>
  </si>
  <si>
    <r>
      <t xml:space="preserve"> Copy Right</t>
    </r>
    <r>
      <rPr>
        <sz val="16"/>
        <color theme="1"/>
        <rFont val="隶书"/>
        <family val="3"/>
        <charset val="134"/>
      </rPr>
      <t>：</t>
    </r>
    <r>
      <rPr>
        <sz val="16"/>
        <color theme="1"/>
        <rFont val="Times New Roman"/>
        <family val="1"/>
      </rPr>
      <t>Chen ZuYu</t>
    </r>
    <r>
      <rPr>
        <sz val="16"/>
        <color theme="1"/>
        <rFont val="隶书"/>
        <family val="3"/>
        <charset val="134"/>
      </rPr>
      <t>（</t>
    </r>
    <r>
      <rPr>
        <sz val="16"/>
        <color theme="1"/>
        <rFont val="Times New Roman"/>
        <family val="1"/>
      </rPr>
      <t>Email</t>
    </r>
    <r>
      <rPr>
        <sz val="16"/>
        <color theme="1"/>
        <rFont val="隶书"/>
        <family val="3"/>
        <charset val="134"/>
      </rPr>
      <t>：</t>
    </r>
    <r>
      <rPr>
        <sz val="16"/>
        <color theme="1"/>
        <rFont val="Times New Roman"/>
        <family val="1"/>
      </rPr>
      <t>chenzuyu@cashq.ac.cn</t>
    </r>
    <r>
      <rPr>
        <sz val="16"/>
        <color theme="1"/>
        <rFont val="隶书"/>
        <family val="3"/>
        <charset val="134"/>
      </rPr>
      <t>）</t>
    </r>
    <phoneticPr fontId="1" type="noConversion"/>
  </si>
  <si>
    <t>Erosion rate</t>
  </si>
  <si>
    <t>Erosion rate</t>
    <phoneticPr fontId="1" type="noConversion"/>
  </si>
  <si>
    <t xml:space="preserve">Shear stress  </t>
    <phoneticPr fontId="1" type="noConversion"/>
  </si>
  <si>
    <r>
      <t>z</t>
    </r>
    <r>
      <rPr>
        <i/>
        <vertAlign val="subscript"/>
        <sz val="12"/>
        <rFont val="Times New Roman"/>
        <family val="1"/>
      </rPr>
      <t>1</t>
    </r>
    <phoneticPr fontId="1" type="noConversion"/>
  </si>
  <si>
    <r>
      <t>z</t>
    </r>
    <r>
      <rPr>
        <i/>
        <vertAlign val="subscript"/>
        <sz val="12"/>
        <rFont val="Times New Roman"/>
        <family val="1"/>
      </rPr>
      <t>2</t>
    </r>
    <phoneticPr fontId="1" type="noConversion"/>
  </si>
  <si>
    <r>
      <t>z</t>
    </r>
    <r>
      <rPr>
        <i/>
        <vertAlign val="subscript"/>
        <sz val="12"/>
        <rFont val="Times New Roman"/>
        <family val="1"/>
      </rPr>
      <t>3</t>
    </r>
    <phoneticPr fontId="1" type="noConversion"/>
  </si>
  <si>
    <r>
      <t>v</t>
    </r>
    <r>
      <rPr>
        <i/>
        <vertAlign val="subscript"/>
        <sz val="11"/>
        <rFont val="Times New Roman"/>
        <family val="1"/>
      </rPr>
      <t>1</t>
    </r>
    <phoneticPr fontId="1" type="noConversion"/>
  </si>
  <si>
    <r>
      <t>v</t>
    </r>
    <r>
      <rPr>
        <i/>
        <vertAlign val="subscript"/>
        <sz val="11"/>
        <rFont val="Times New Roman"/>
        <family val="1"/>
      </rPr>
      <t>2</t>
    </r>
    <phoneticPr fontId="1" type="noConversion"/>
  </si>
  <si>
    <r>
      <t>v</t>
    </r>
    <r>
      <rPr>
        <i/>
        <vertAlign val="subscript"/>
        <sz val="11"/>
        <rFont val="Times New Roman"/>
        <family val="1"/>
      </rPr>
      <t>3</t>
    </r>
    <phoneticPr fontId="1" type="noConversion"/>
  </si>
  <si>
    <r>
      <t>1/</t>
    </r>
    <r>
      <rPr>
        <i/>
        <sz val="11"/>
        <color theme="1"/>
        <rFont val="宋体"/>
        <family val="3"/>
        <charset val="134"/>
        <scheme val="minor"/>
      </rPr>
      <t>v</t>
    </r>
    <phoneticPr fontId="1" type="noConversion"/>
  </si>
  <si>
    <r>
      <t>1/</t>
    </r>
    <r>
      <rPr>
        <i/>
        <sz val="11"/>
        <color theme="1"/>
        <rFont val="宋体"/>
        <family val="3"/>
        <charset val="134"/>
        <scheme val="minor"/>
      </rPr>
      <t>z</t>
    </r>
    <phoneticPr fontId="1" type="noConversion"/>
  </si>
  <si>
    <t>下限 95.0%</t>
  </si>
  <si>
    <t>上限 95.0%</t>
  </si>
  <si>
    <t>a</t>
    <phoneticPr fontId="1" type="noConversion"/>
  </si>
  <si>
    <t>mm/s</t>
    <phoneticPr fontId="1" type="noConversion"/>
  </si>
  <si>
    <r>
      <t>z</t>
    </r>
    <r>
      <rPr>
        <sz val="11"/>
        <rFont val="宋体"/>
        <family val="3"/>
        <charset val="134"/>
      </rPr>
      <t>（</t>
    </r>
    <r>
      <rPr>
        <sz val="11"/>
        <rFont val="Times New Roman"/>
        <family val="1"/>
      </rPr>
      <t xml:space="preserve">10 </t>
    </r>
    <r>
      <rPr>
        <vertAlign val="superscript"/>
        <sz val="11"/>
        <rFont val="Times New Roman"/>
        <family val="1"/>
      </rPr>
      <t>-3</t>
    </r>
    <r>
      <rPr>
        <sz val="11"/>
        <rFont val="Times New Roman"/>
        <family val="1"/>
      </rPr>
      <t>mm/s</t>
    </r>
    <r>
      <rPr>
        <sz val="11"/>
        <rFont val="宋体"/>
        <family val="3"/>
        <charset val="134"/>
      </rPr>
      <t>）</t>
    </r>
    <phoneticPr fontId="1" type="noConversion"/>
  </si>
  <si>
    <r>
      <rPr>
        <i/>
        <sz val="11"/>
        <rFont val="Times New Roman"/>
        <family val="1"/>
      </rPr>
      <t>v</t>
    </r>
    <r>
      <rPr>
        <sz val="11"/>
        <rFont val="Times New Roman"/>
        <family val="1"/>
      </rPr>
      <t>=100(</t>
    </r>
    <r>
      <rPr>
        <sz val="11"/>
        <rFont val="Symbol"/>
        <family val="1"/>
        <charset val="2"/>
      </rPr>
      <t>t</t>
    </r>
    <r>
      <rPr>
        <sz val="11"/>
        <rFont val="Times New Roman"/>
        <family val="1"/>
      </rPr>
      <t>-</t>
    </r>
    <r>
      <rPr>
        <sz val="11"/>
        <rFont val="Symbol"/>
        <family val="1"/>
        <charset val="2"/>
      </rPr>
      <t>t</t>
    </r>
    <r>
      <rPr>
        <vertAlign val="subscript"/>
        <sz val="11"/>
        <rFont val="Times New Roman"/>
        <family val="1"/>
      </rPr>
      <t>c</t>
    </r>
    <r>
      <rPr>
        <sz val="11"/>
        <rFont val="Times New Roman"/>
        <family val="1"/>
      </rPr>
      <t>)  (Pa)</t>
    </r>
    <phoneticPr fontId="1" type="noConversion"/>
  </si>
  <si>
    <t>流速（m/s）</t>
    <phoneticPr fontId="1" type="noConversion"/>
  </si>
  <si>
    <t>水流流速
（m/s）</t>
    <phoneticPr fontId="1" type="noConversion"/>
  </si>
  <si>
    <t>冲刷时间
（min）</t>
    <phoneticPr fontId="1" type="noConversion"/>
  </si>
  <si>
    <t>冲刷深度
（mm）</t>
    <phoneticPr fontId="1" type="noConversion"/>
  </si>
  <si>
    <t>剪应力
pa</t>
    <phoneticPr fontId="1" type="noConversion"/>
  </si>
  <si>
    <t>x</t>
    <phoneticPr fontId="1" type="noConversion"/>
  </si>
  <si>
    <t>y</t>
    <phoneticPr fontId="1" type="noConversion"/>
  </si>
  <si>
    <t>x/y</t>
    <phoneticPr fontId="1" type="noConversion"/>
  </si>
  <si>
    <t>拟合y</t>
    <phoneticPr fontId="1" type="noConversion"/>
  </si>
  <si>
    <t>冲刷速率
（um/s）</t>
    <phoneticPr fontId="1" type="noConversion"/>
  </si>
  <si>
    <t>冲刷速率
（10-3mm/s）</t>
    <phoneticPr fontId="1" type="noConversion"/>
  </si>
  <si>
    <t>z4</t>
    <phoneticPr fontId="1" type="noConversion"/>
  </si>
  <si>
    <t>z5</t>
    <phoneticPr fontId="1" type="noConversion"/>
  </si>
  <si>
    <t>z6</t>
    <phoneticPr fontId="1" type="noConversion"/>
  </si>
  <si>
    <t>z7</t>
    <phoneticPr fontId="1" type="noConversion"/>
  </si>
  <si>
    <t>z8</t>
    <phoneticPr fontId="1" type="noConversion"/>
  </si>
  <si>
    <t>z9</t>
    <phoneticPr fontId="1" type="noConversion"/>
  </si>
  <si>
    <t>z10</t>
    <phoneticPr fontId="1" type="noConversion"/>
  </si>
  <si>
    <t>z11</t>
    <phoneticPr fontId="1" type="noConversion"/>
  </si>
  <si>
    <t>v4</t>
    <phoneticPr fontId="1" type="noConversion"/>
  </si>
  <si>
    <t>v5</t>
    <phoneticPr fontId="1" type="noConversion"/>
  </si>
  <si>
    <t>v6</t>
    <phoneticPr fontId="1" type="noConversion"/>
  </si>
  <si>
    <t>v7</t>
    <phoneticPr fontId="1" type="noConversion"/>
  </si>
  <si>
    <t>v8</t>
    <phoneticPr fontId="1" type="noConversion"/>
  </si>
  <si>
    <t>v9</t>
    <phoneticPr fontId="1" type="noConversion"/>
  </si>
  <si>
    <t>v10</t>
    <phoneticPr fontId="1" type="noConversion"/>
  </si>
  <si>
    <t>v11</t>
    <phoneticPr fontId="1" type="noConversion"/>
  </si>
  <si>
    <t>预测 2.34</t>
  </si>
  <si>
    <t xml:space="preserve">       溃坝分析电子计算表格(DB-IWHR) V2.0</t>
    <phoneticPr fontId="1" type="noConversion"/>
  </si>
  <si>
    <r>
      <t>版权所有：陈祖煜（电邮地址：chenzuyu@cashq.ac.cn</t>
    </r>
    <r>
      <rPr>
        <sz val="16"/>
        <color theme="1"/>
        <rFont val="隶书"/>
        <family val="3"/>
        <charset val="134"/>
      </rPr>
      <t>）</t>
    </r>
    <phoneticPr fontId="1" type="noConversion"/>
  </si>
  <si>
    <r>
      <t xml:space="preserve">                                   </t>
    </r>
    <r>
      <rPr>
        <sz val="11"/>
        <color theme="1"/>
        <rFont val="宋体"/>
        <family val="3"/>
        <charset val="134"/>
      </rPr>
      <t>特别声明：作者对本计算表格的使用不承担任何责任</t>
    </r>
    <phoneticPr fontId="1" type="noConversion"/>
  </si>
  <si>
    <t>发布日期 2019.01.09</t>
    <phoneticPr fontId="1" type="noConversion"/>
  </si>
  <si>
    <t>输入参数</t>
    <phoneticPr fontId="1" type="noConversion"/>
  </si>
  <si>
    <t>项目名称</t>
    <phoneticPr fontId="1" type="noConversion"/>
  </si>
  <si>
    <t>计算编号</t>
    <phoneticPr fontId="1" type="noConversion"/>
  </si>
  <si>
    <t>计算人</t>
    <phoneticPr fontId="1" type="noConversion"/>
  </si>
  <si>
    <t>审核人</t>
    <phoneticPr fontId="1" type="noConversion"/>
  </si>
  <si>
    <t>计算日期</t>
    <phoneticPr fontId="1" type="noConversion"/>
  </si>
  <si>
    <t>计算单位</t>
    <phoneticPr fontId="1" type="noConversion"/>
  </si>
  <si>
    <t>渠道底部高程，单位：m</t>
    <phoneticPr fontId="1" type="noConversion"/>
  </si>
  <si>
    <t>入库流量，单位：m3/s</t>
    <phoneticPr fontId="1" type="noConversion"/>
  </si>
  <si>
    <t>死水位高程，单位：m</t>
    <phoneticPr fontId="1" type="noConversion"/>
  </si>
  <si>
    <t>初始库水位，单位： m</t>
    <phoneticPr fontId="1" type="noConversion"/>
  </si>
  <si>
    <t>溃口（导流槽）初始宽度，单位： m</t>
    <phoneticPr fontId="1" type="noConversion"/>
  </si>
  <si>
    <t>水位高程 （m）</t>
    <phoneticPr fontId="1" type="noConversion"/>
  </si>
  <si>
    <t>水库库容  （百万m3）</t>
    <phoneticPr fontId="1" type="noConversion"/>
  </si>
  <si>
    <t>宽顶堰流量系数</t>
    <phoneticPr fontId="1" type="noConversion"/>
  </si>
  <si>
    <t>侧收缩系数</t>
    <phoneticPr fontId="1" type="noConversion"/>
  </si>
  <si>
    <t>综合流量系数</t>
    <phoneticPr fontId="1" type="noConversion"/>
  </si>
  <si>
    <t>尾水比例</t>
    <phoneticPr fontId="1" type="noConversion"/>
  </si>
  <si>
    <t>注意：C=mq*mb*Sqrt(2g)；仅需输入mq、mb或者输入C</t>
    <phoneticPr fontId="1" type="noConversion"/>
  </si>
  <si>
    <t>启动流速，单位：m/s</t>
    <phoneticPr fontId="1" type="noConversion"/>
  </si>
  <si>
    <t>冲刷系数a</t>
    <phoneticPr fontId="1" type="noConversion"/>
  </si>
  <si>
    <t>冲刷系数b</t>
    <phoneticPr fontId="1" type="noConversion"/>
  </si>
  <si>
    <t>粘聚力，单位：kPa</t>
    <phoneticPr fontId="1" type="noConversion"/>
  </si>
  <si>
    <t>摩擦角，单位：°</t>
    <phoneticPr fontId="1" type="noConversion"/>
  </si>
  <si>
    <t>坝体材料容重</t>
    <phoneticPr fontId="1" type="noConversion"/>
  </si>
  <si>
    <t>初始溃口倾角</t>
    <phoneticPr fontId="1" type="noConversion"/>
  </si>
  <si>
    <r>
      <t>版权所有：陈祖煜（电邮地址：chenzuyu@cashq.ac.cn</t>
    </r>
    <r>
      <rPr>
        <sz val="16"/>
        <color theme="1"/>
        <rFont val="隶书"/>
        <family val="3"/>
        <charset val="134"/>
      </rPr>
      <t>）</t>
    </r>
    <phoneticPr fontId="1" type="noConversion"/>
  </si>
  <si>
    <r>
      <t xml:space="preserve">                                   </t>
    </r>
    <r>
      <rPr>
        <sz val="11"/>
        <color theme="1"/>
        <rFont val="宋体"/>
        <family val="3"/>
        <charset val="134"/>
      </rPr>
      <t>特别声明：作者对本计算表格的使用不承担任何责任</t>
    </r>
    <phoneticPr fontId="1" type="noConversion"/>
  </si>
  <si>
    <t>项目名称</t>
    <phoneticPr fontId="1" type="noConversion"/>
  </si>
  <si>
    <t>计算编号</t>
    <phoneticPr fontId="1" type="noConversion"/>
  </si>
  <si>
    <t>计算日期</t>
    <phoneticPr fontId="1" type="noConversion"/>
  </si>
  <si>
    <t>计算单位</t>
    <phoneticPr fontId="1" type="noConversion"/>
  </si>
  <si>
    <t>入库流量，单位：m3/s</t>
    <phoneticPr fontId="1" type="noConversion"/>
  </si>
  <si>
    <t>W-H关系曲线系数1</t>
    <phoneticPr fontId="1" type="noConversion"/>
  </si>
  <si>
    <t>W-H关系曲线系数2</t>
    <phoneticPr fontId="1" type="noConversion"/>
  </si>
  <si>
    <t>W-H关系曲线系数3</t>
    <phoneticPr fontId="1" type="noConversion"/>
  </si>
  <si>
    <t xml:space="preserve">   提示：从W.H curve计算表导入库容水位关系曲线</t>
    <phoneticPr fontId="1" type="noConversion"/>
  </si>
  <si>
    <t>侧面收缩系数</t>
    <phoneticPr fontId="1" type="noConversion"/>
  </si>
  <si>
    <t>尾水比例</t>
    <phoneticPr fontId="1" type="noConversion"/>
  </si>
  <si>
    <t>启动剪切应力</t>
    <phoneticPr fontId="1" type="noConversion"/>
  </si>
  <si>
    <t>坝体材料容重</t>
    <phoneticPr fontId="1" type="noConversion"/>
  </si>
  <si>
    <t>平均颗粒粒径，单位：m</t>
    <phoneticPr fontId="1" type="noConversion"/>
  </si>
  <si>
    <t>颗粒密度，单位：kg/m3</t>
    <phoneticPr fontId="1" type="noConversion"/>
  </si>
  <si>
    <t>孔隙比</t>
    <phoneticPr fontId="1" type="noConversion"/>
  </si>
  <si>
    <t>颗粒比重</t>
    <phoneticPr fontId="1" type="noConversion"/>
  </si>
  <si>
    <t>冲刷长度, m</t>
    <phoneticPr fontId="1" type="noConversion"/>
  </si>
  <si>
    <t>河床糙率</t>
    <phoneticPr fontId="1" type="noConversion"/>
  </si>
  <si>
    <t>溃口扩展系数1</t>
    <phoneticPr fontId="1" type="noConversion"/>
  </si>
  <si>
    <t>溃口扩展系数2</t>
    <phoneticPr fontId="1" type="noConversion"/>
  </si>
  <si>
    <t>洪峰流量</t>
    <phoneticPr fontId="1" type="noConversion"/>
  </si>
  <si>
    <t>洪峰出现时间</t>
    <phoneticPr fontId="1" type="noConversion"/>
  </si>
  <si>
    <t>总下泄库容</t>
    <phoneticPr fontId="1" type="noConversion"/>
  </si>
  <si>
    <t>误差</t>
    <phoneticPr fontId="1" type="noConversion"/>
  </si>
  <si>
    <t>粘聚力，单位：kPa</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</si>
</sst>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9">
    <numFmt numFmtId="176" formatCode="0.00_ "/>
    <numFmt numFmtId="177" formatCode="0.00_);[Red]\(0.00\)"/>
    <numFmt numFmtId="178" formatCode="0.000_ "/>
    <numFmt numFmtId="179" formatCode="0.00000_ "/>
    <numFmt numFmtId="180" formatCode="0_ "/>
    <numFmt numFmtId="181" formatCode="0.0000_ "/>
    <numFmt numFmtId="182" formatCode="0.0000_);[Red]\(0.0000\)"/>
    <numFmt numFmtId="183" formatCode="0.000"/>
    <numFmt numFmtId="184" formatCode="0.00000;[Red]0.00000"/>
  </numFmts>
  <fonts count="118" x14ac:knownFonts="1">
    <font>
      <sz val="11"/>
      <color theme="1"/>
      <name val="宋体"/>
      <family val="2"/>
      <charset val="134"/>
      <scheme val="minor"/>
    </font>
    <font>
      <sz val="9"/>
      <name val="宋体"/>
      <family val="2"/>
      <charset val="134"/>
      <scheme val="minor"/>
    </font>
    <font>
      <b/>
      <sz val="28"/>
      <color theme="1"/>
      <name val="隶书"/>
      <family val="3"/>
      <charset val="134"/>
    </font>
    <font>
      <b/>
      <sz val="24"/>
      <color theme="1"/>
      <name val="隶书"/>
      <family val="3"/>
      <charset val="134"/>
    </font>
    <font>
      <sz val="16"/>
      <color theme="1"/>
      <name val="隶书"/>
      <family val="3"/>
      <charset val="134"/>
    </font>
    <font>
      <sz val="12"/>
      <color theme="1"/>
      <name val="隶书"/>
      <family val="3"/>
      <charset val="134"/>
    </font>
    <font>
      <sz val="11"/>
      <color theme="1"/>
      <name val="隶书"/>
      <family val="3"/>
      <charset val="134"/>
    </font>
    <font>
      <sz val="11"/>
      <name val="宋体"/>
      <family val="2"/>
      <charset val="134"/>
      <scheme val="minor"/>
    </font>
    <font>
      <sz val="16"/>
      <name val="宋体"/>
      <family val="2"/>
      <charset val="134"/>
      <scheme val="minor"/>
    </font>
    <font>
      <sz val="11"/>
      <color rgb="FF9C6500"/>
      <name val="宋体"/>
      <family val="2"/>
      <scheme val="minor"/>
    </font>
    <font>
      <sz val="11"/>
      <color rgb="FF3F3F76"/>
      <name val="宋体"/>
      <family val="2"/>
      <scheme val="minor"/>
    </font>
    <font>
      <sz val="11"/>
      <color theme="0"/>
      <name val="宋体"/>
      <family val="2"/>
      <scheme val="minor"/>
    </font>
    <font>
      <b/>
      <sz val="11"/>
      <color theme="1"/>
      <name val="宋体"/>
      <family val="3"/>
      <charset val="134"/>
      <scheme val="minor"/>
    </font>
    <font>
      <b/>
      <sz val="11"/>
      <name val="宋体"/>
      <family val="3"/>
      <charset val="134"/>
      <scheme val="minor"/>
    </font>
    <font>
      <sz val="10.5"/>
      <name val="宋体"/>
      <family val="3"/>
      <charset val="134"/>
    </font>
    <font>
      <sz val="11"/>
      <name val="宋体"/>
      <family val="3"/>
      <charset val="134"/>
      <scheme val="minor"/>
    </font>
    <font>
      <sz val="11"/>
      <color rgb="FF3F3F76"/>
      <name val="宋体"/>
      <family val="3"/>
      <charset val="134"/>
      <scheme val="minor"/>
    </font>
    <font>
      <vertAlign val="subscript"/>
      <sz val="10.5"/>
      <name val="宋体"/>
      <family val="3"/>
      <charset val="134"/>
    </font>
    <font>
      <vertAlign val="subscript"/>
      <sz val="11"/>
      <name val="宋体"/>
      <family val="3"/>
      <charset val="134"/>
      <scheme val="minor"/>
    </font>
    <font>
      <b/>
      <sz val="11"/>
      <color theme="1"/>
      <name val="宋体"/>
      <family val="2"/>
      <scheme val="minor"/>
    </font>
    <font>
      <sz val="9"/>
      <name val="宋体"/>
      <family val="3"/>
      <charset val="134"/>
    </font>
    <font>
      <b/>
      <sz val="11"/>
      <name val="宋体"/>
      <family val="2"/>
      <scheme val="minor"/>
    </font>
    <font>
      <sz val="8"/>
      <name val="宋体"/>
      <family val="3"/>
      <charset val="134"/>
    </font>
    <font>
      <sz val="12"/>
      <name val="宋体"/>
      <family val="3"/>
      <charset val="134"/>
    </font>
    <font>
      <sz val="9"/>
      <name val="宋体"/>
      <family val="3"/>
      <charset val="134"/>
      <scheme val="minor"/>
    </font>
    <font>
      <b/>
      <sz val="12"/>
      <name val="宋体"/>
      <family val="3"/>
      <charset val="134"/>
    </font>
    <font>
      <b/>
      <sz val="11"/>
      <color theme="1"/>
      <name val="Times New Roman"/>
      <family val="1"/>
    </font>
    <font>
      <b/>
      <vertAlign val="subscript"/>
      <sz val="11"/>
      <color theme="1"/>
      <name val="Times New Roman"/>
      <family val="1"/>
    </font>
    <font>
      <sz val="11"/>
      <color theme="1"/>
      <name val="Times New Roman"/>
      <family val="1"/>
    </font>
    <font>
      <b/>
      <sz val="16"/>
      <color theme="1"/>
      <name val="宋体"/>
      <family val="3"/>
      <charset val="134"/>
      <scheme val="minor"/>
    </font>
    <font>
      <b/>
      <vertAlign val="subscript"/>
      <sz val="16"/>
      <color theme="1"/>
      <name val="宋体"/>
      <family val="3"/>
      <charset val="134"/>
      <scheme val="minor"/>
    </font>
    <font>
      <b/>
      <vertAlign val="superscript"/>
      <sz val="16"/>
      <color theme="1"/>
      <name val="宋体"/>
      <family val="3"/>
      <charset val="134"/>
      <scheme val="minor"/>
    </font>
    <font>
      <sz val="11"/>
      <color theme="0"/>
      <name val="宋体"/>
      <family val="2"/>
      <charset val="134"/>
      <scheme val="minor"/>
    </font>
    <font>
      <b/>
      <sz val="9"/>
      <color theme="1"/>
      <name val="宋体"/>
      <family val="3"/>
      <charset val="134"/>
      <scheme val="minor"/>
    </font>
    <font>
      <sz val="11"/>
      <name val="Times New Roman"/>
      <family val="1"/>
    </font>
    <font>
      <b/>
      <sz val="28"/>
      <color theme="1"/>
      <name val="Times New Roman"/>
      <family val="1"/>
    </font>
    <font>
      <sz val="16"/>
      <color theme="1"/>
      <name val="Times New Roman"/>
      <family val="1"/>
    </font>
    <font>
      <sz val="16"/>
      <name val="Times New Roman"/>
      <family val="1"/>
    </font>
    <font>
      <b/>
      <sz val="11"/>
      <name val="Times New Roman"/>
      <family val="1"/>
    </font>
    <font>
      <sz val="10.5"/>
      <name val="Times New Roman"/>
      <family val="1"/>
    </font>
    <font>
      <sz val="8"/>
      <name val="Times New Roman"/>
      <family val="1"/>
    </font>
    <font>
      <sz val="11"/>
      <color rgb="FF3F3F76"/>
      <name val="Times New Roman"/>
      <family val="1"/>
    </font>
    <font>
      <b/>
      <sz val="10.5"/>
      <name val="Times New Roman"/>
      <family val="1"/>
    </font>
    <font>
      <b/>
      <sz val="12"/>
      <color rgb="FF3F3F76"/>
      <name val="Times New Roman"/>
      <family val="1"/>
    </font>
    <font>
      <b/>
      <sz val="7"/>
      <color rgb="FF3F3F76"/>
      <name val="Times New Roman"/>
      <family val="1"/>
    </font>
    <font>
      <vertAlign val="superscript"/>
      <sz val="11"/>
      <color theme="1"/>
      <name val="Times New Roman"/>
      <family val="1"/>
    </font>
    <font>
      <sz val="8"/>
      <color theme="1"/>
      <name val="Times New Roman"/>
      <family val="1"/>
    </font>
    <font>
      <sz val="11"/>
      <color rgb="FFFF0000"/>
      <name val="Times New Roman"/>
      <family val="1"/>
    </font>
    <font>
      <sz val="9"/>
      <name val="Times New Roman"/>
      <family val="1"/>
    </font>
    <font>
      <sz val="10.5"/>
      <color theme="1"/>
      <name val="Times New Roman"/>
      <family val="1"/>
    </font>
    <font>
      <b/>
      <sz val="11"/>
      <color theme="1"/>
      <name val="宋体"/>
      <family val="2"/>
    </font>
    <font>
      <b/>
      <sz val="11"/>
      <color rgb="FF9C6500"/>
      <name val="Times New Roman"/>
      <family val="1"/>
    </font>
    <font>
      <sz val="11"/>
      <color theme="0"/>
      <name val="Times New Roman"/>
      <family val="1"/>
    </font>
    <font>
      <vertAlign val="subscript"/>
      <sz val="9"/>
      <name val="宋体"/>
      <family val="3"/>
      <charset val="134"/>
    </font>
    <font>
      <vertAlign val="superscript"/>
      <sz val="8"/>
      <name val="宋体"/>
      <family val="3"/>
      <charset val="134"/>
    </font>
    <font>
      <sz val="10.5"/>
      <name val="宋体"/>
      <family val="2"/>
      <charset val="134"/>
      <scheme val="minor"/>
    </font>
    <font>
      <sz val="8"/>
      <name val="宋体"/>
      <family val="2"/>
      <charset val="134"/>
      <scheme val="minor"/>
    </font>
    <font>
      <sz val="8"/>
      <name val="宋体"/>
      <family val="3"/>
      <charset val="134"/>
      <scheme val="minor"/>
    </font>
    <font>
      <sz val="11"/>
      <color theme="1"/>
      <name val="宋体"/>
      <family val="2"/>
      <scheme val="minor"/>
    </font>
    <font>
      <b/>
      <sz val="10.5"/>
      <name val="宋体"/>
      <family val="3"/>
      <charset val="134"/>
    </font>
    <font>
      <b/>
      <sz val="12"/>
      <color rgb="FF3F3F76"/>
      <name val="宋体"/>
      <family val="2"/>
      <scheme val="minor"/>
    </font>
    <font>
      <b/>
      <sz val="7"/>
      <color rgb="FF3F3F76"/>
      <name val="宋体"/>
      <family val="2"/>
      <scheme val="minor"/>
    </font>
    <font>
      <vertAlign val="superscript"/>
      <sz val="11"/>
      <color theme="1"/>
      <name val="宋体"/>
      <family val="3"/>
      <charset val="134"/>
      <scheme val="minor"/>
    </font>
    <font>
      <sz val="8"/>
      <color theme="1"/>
      <name val="宋体"/>
      <family val="3"/>
      <charset val="134"/>
      <scheme val="minor"/>
    </font>
    <font>
      <vertAlign val="subscript"/>
      <sz val="11"/>
      <color theme="1"/>
      <name val="宋体"/>
      <family val="3"/>
      <charset val="134"/>
      <scheme val="minor"/>
    </font>
    <font>
      <sz val="11"/>
      <color rgb="FFFF0000"/>
      <name val="宋体"/>
      <family val="3"/>
      <charset val="134"/>
      <scheme val="minor"/>
    </font>
    <font>
      <sz val="10.5"/>
      <color theme="1"/>
      <name val="宋体"/>
      <family val="3"/>
      <charset val="134"/>
    </font>
    <font>
      <b/>
      <sz val="11"/>
      <color rgb="FF9C6500"/>
      <name val="宋体"/>
      <family val="2"/>
      <scheme val="minor"/>
    </font>
    <font>
      <sz val="11"/>
      <name val="宋体"/>
      <family val="2"/>
      <scheme val="minor"/>
    </font>
    <font>
      <sz val="11"/>
      <color theme="1"/>
      <name val="宋体"/>
      <family val="3"/>
      <charset val="134"/>
      <scheme val="minor"/>
    </font>
    <font>
      <sz val="11"/>
      <color theme="1"/>
      <name val="宋体"/>
      <family val="3"/>
      <charset val="134"/>
    </font>
    <font>
      <sz val="11"/>
      <color theme="0" tint="-0.14999847407452621"/>
      <name val="Times New Roman"/>
      <family val="1"/>
    </font>
    <font>
      <sz val="10.5"/>
      <color theme="0" tint="-0.14999847407452621"/>
      <name val="Times New Roman"/>
      <family val="1"/>
    </font>
    <font>
      <sz val="11"/>
      <color theme="0" tint="-0.14999847407452621"/>
      <name val="宋体"/>
      <family val="3"/>
      <charset val="134"/>
    </font>
    <font>
      <sz val="11"/>
      <color theme="0" tint="-0.14999847407452621"/>
      <name val="宋体"/>
      <family val="2"/>
      <charset val="134"/>
      <scheme val="minor"/>
    </font>
    <font>
      <i/>
      <sz val="11"/>
      <name val="Times New Roman"/>
      <family val="1"/>
    </font>
    <font>
      <i/>
      <sz val="6"/>
      <name val="Times New Roman"/>
      <family val="1"/>
    </font>
    <font>
      <i/>
      <sz val="11"/>
      <color theme="1"/>
      <name val="Times New Roman"/>
      <family val="1"/>
    </font>
    <font>
      <i/>
      <sz val="10.5"/>
      <name val="Times New Roman"/>
      <family val="1"/>
    </font>
    <font>
      <i/>
      <vertAlign val="subscript"/>
      <sz val="9"/>
      <name val="Times New Roman"/>
      <family val="1"/>
    </font>
    <font>
      <i/>
      <vertAlign val="subscript"/>
      <sz val="10.5"/>
      <name val="Times New Roman"/>
      <family val="1"/>
    </font>
    <font>
      <i/>
      <vertAlign val="subscript"/>
      <sz val="11"/>
      <name val="Times New Roman"/>
      <family val="1"/>
    </font>
    <font>
      <i/>
      <vertAlign val="subscript"/>
      <sz val="8"/>
      <name val="Times New Roman"/>
      <family val="1"/>
    </font>
    <font>
      <i/>
      <vertAlign val="subscript"/>
      <sz val="11"/>
      <color theme="1"/>
      <name val="Times New Roman"/>
      <family val="1"/>
    </font>
    <font>
      <i/>
      <vertAlign val="subscript"/>
      <sz val="9.35"/>
      <color theme="1"/>
      <name val="Times New Roman"/>
      <family val="1"/>
    </font>
    <font>
      <sz val="10"/>
      <name val="Times New Roman"/>
      <family val="1"/>
    </font>
    <font>
      <sz val="12"/>
      <name val="Times New Roman"/>
      <family val="1"/>
    </font>
    <font>
      <sz val="12"/>
      <color rgb="FF222222"/>
      <name val="Times New Roman"/>
      <family val="1"/>
    </font>
    <font>
      <vertAlign val="superscript"/>
      <sz val="11"/>
      <name val="Times New Roman"/>
      <family val="1"/>
    </font>
    <font>
      <i/>
      <sz val="12"/>
      <name val="Times New Roman"/>
      <family val="1"/>
    </font>
    <font>
      <i/>
      <vertAlign val="subscript"/>
      <sz val="12"/>
      <name val="Times New Roman"/>
      <family val="1"/>
    </font>
    <font>
      <b/>
      <sz val="12"/>
      <name val="Times New Roman"/>
      <family val="1"/>
    </font>
    <font>
      <sz val="11"/>
      <color theme="0"/>
      <name val="宋体"/>
      <family val="3"/>
      <charset val="134"/>
      <scheme val="minor"/>
    </font>
    <font>
      <b/>
      <i/>
      <sz val="14"/>
      <color theme="1"/>
      <name val="Times New Roman"/>
      <family val="1"/>
    </font>
    <font>
      <vertAlign val="superscript"/>
      <sz val="11"/>
      <name val="宋体"/>
      <family val="3"/>
      <charset val="134"/>
      <scheme val="minor"/>
    </font>
    <font>
      <sz val="9"/>
      <color rgb="FF000000"/>
      <name val="Times New Roman"/>
      <family val="1"/>
    </font>
    <font>
      <vertAlign val="superscript"/>
      <sz val="10.5"/>
      <color theme="1"/>
      <name val="Times New Roman"/>
      <family val="1"/>
    </font>
    <font>
      <sz val="9"/>
      <color rgb="FFFF0000"/>
      <name val="Times New Roman"/>
      <family val="1"/>
    </font>
    <font>
      <sz val="9"/>
      <color rgb="FF000000"/>
      <name val="宋体"/>
      <family val="3"/>
      <charset val="134"/>
    </font>
    <font>
      <sz val="12"/>
      <color rgb="FF000000"/>
      <name val="宋体"/>
      <family val="3"/>
      <charset val="134"/>
    </font>
    <font>
      <sz val="11"/>
      <color rgb="FF000000"/>
      <name val="宋体"/>
      <family val="3"/>
      <charset val="134"/>
    </font>
    <font>
      <b/>
      <sz val="14"/>
      <color rgb="FF000000"/>
      <name val="宋体"/>
      <family val="3"/>
      <charset val="134"/>
    </font>
    <font>
      <sz val="8"/>
      <color theme="1"/>
      <name val="宋体"/>
      <family val="3"/>
      <charset val="134"/>
    </font>
    <font>
      <b/>
      <sz val="28"/>
      <color theme="1"/>
      <name val="Symbol"/>
      <family val="1"/>
      <charset val="2"/>
    </font>
    <font>
      <sz val="11"/>
      <color rgb="FF000000"/>
      <name val="Calibri"/>
      <family val="2"/>
    </font>
    <font>
      <sz val="10"/>
      <color theme="1"/>
      <name val="Times New Roman"/>
      <family val="1"/>
    </font>
    <font>
      <b/>
      <sz val="14"/>
      <name val="Times New Roman"/>
      <family val="1"/>
    </font>
    <font>
      <b/>
      <sz val="16"/>
      <color theme="1"/>
      <name val="Times New Roman"/>
      <family val="1"/>
    </font>
    <font>
      <i/>
      <sz val="10"/>
      <name val="Times New Roman"/>
      <family val="1"/>
    </font>
    <font>
      <i/>
      <sz val="11"/>
      <color theme="1"/>
      <name val="宋体"/>
      <family val="3"/>
      <charset val="134"/>
      <scheme val="minor"/>
    </font>
    <font>
      <sz val="9"/>
      <color theme="1"/>
      <name val="Times New Roman"/>
      <family val="1"/>
    </font>
    <font>
      <b/>
      <sz val="16"/>
      <color rgb="FF000000"/>
      <name val="宋体"/>
      <family val="3"/>
      <charset val="134"/>
    </font>
    <font>
      <i/>
      <sz val="11"/>
      <name val="等线"/>
      <family val="3"/>
      <charset val="134"/>
    </font>
    <font>
      <b/>
      <sz val="24"/>
      <color theme="1"/>
      <name val="Times New Roman"/>
      <family val="1"/>
    </font>
    <font>
      <sz val="11"/>
      <name val="宋体"/>
      <family val="3"/>
      <charset val="134"/>
    </font>
    <font>
      <sz val="11"/>
      <name val="Symbol"/>
      <family val="1"/>
      <charset val="2"/>
    </font>
    <font>
      <vertAlign val="subscript"/>
      <sz val="11"/>
      <name val="Times New Roman"/>
      <family val="1"/>
    </font>
    <font>
      <i/>
      <sz val="11"/>
      <name val="宋体"/>
      <family val="3"/>
      <charset val="134"/>
      <scheme val="minor"/>
    </font>
  </fonts>
  <fills count="23">
    <fill>
      <patternFill patternType="none"/>
    </fill>
    <fill>
      <patternFill patternType="gray125"/>
    </fill>
    <fill>
      <patternFill patternType="solid">
        <fgColor theme="0" tint="-0.14999847407452621"/>
        <bgColor indexed="64"/>
      </patternFill>
    </fill>
    <fill>
      <patternFill patternType="solid">
        <fgColor theme="0" tint="-0.249977111117893"/>
        <bgColor indexed="64"/>
      </patternFill>
    </fill>
    <fill>
      <patternFill patternType="solid">
        <fgColor rgb="FFFFEB9C"/>
      </patternFill>
    </fill>
    <fill>
      <patternFill patternType="solid">
        <fgColor rgb="FFFFCC99"/>
      </patternFill>
    </fill>
    <fill>
      <patternFill patternType="solid">
        <fgColor theme="5"/>
      </patternFill>
    </fill>
    <fill>
      <patternFill patternType="solid">
        <fgColor theme="9"/>
      </patternFill>
    </fill>
    <fill>
      <patternFill patternType="solid">
        <fgColor theme="0"/>
        <bgColor indexed="64"/>
      </patternFill>
    </fill>
    <fill>
      <patternFill patternType="solid">
        <fgColor theme="7" tint="0.79998168889431442"/>
        <bgColor indexed="64"/>
      </patternFill>
    </fill>
    <fill>
      <patternFill patternType="solid">
        <fgColor theme="0" tint="-0.14996795556505021"/>
        <bgColor indexed="64"/>
      </patternFill>
    </fill>
    <fill>
      <patternFill patternType="solid">
        <fgColor theme="6" tint="0.79998168889431442"/>
        <bgColor indexed="64"/>
      </patternFill>
    </fill>
    <fill>
      <patternFill patternType="solid">
        <fgColor theme="3" tint="0.79998168889431442"/>
        <bgColor indexed="64"/>
      </patternFill>
    </fill>
    <fill>
      <patternFill patternType="solid">
        <fgColor theme="5"/>
        <bgColor indexed="64"/>
      </patternFill>
    </fill>
    <fill>
      <patternFill patternType="solid">
        <fgColor theme="8"/>
      </patternFill>
    </fill>
    <fill>
      <patternFill patternType="solid">
        <fgColor theme="6" tint="0.39997558519241921"/>
        <bgColor indexed="64"/>
      </patternFill>
    </fill>
    <fill>
      <patternFill patternType="solid">
        <fgColor rgb="FFF3D9D9"/>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rgb="FFFFFF00"/>
        <bgColor indexed="64"/>
      </patternFill>
    </fill>
    <fill>
      <patternFill patternType="solid">
        <fgColor indexed="9"/>
        <bgColor indexed="64"/>
      </patternFill>
    </fill>
    <fill>
      <patternFill patternType="solid">
        <fgColor rgb="FFDCDCDC"/>
        <bgColor indexed="64"/>
      </patternFill>
    </fill>
  </fills>
  <borders count="24">
    <border>
      <left/>
      <right/>
      <top/>
      <bottom/>
      <diagonal/>
    </border>
    <border>
      <left style="thin">
        <color rgb="FF7F7F7F"/>
      </left>
      <right style="thin">
        <color rgb="FF7F7F7F"/>
      </right>
      <top style="thin">
        <color rgb="FF7F7F7F"/>
      </top>
      <bottom style="thin">
        <color rgb="FF7F7F7F"/>
      </bottom>
      <diagonal/>
    </border>
    <border>
      <left style="thin">
        <color auto="1"/>
      </left>
      <right style="thin">
        <color auto="1"/>
      </right>
      <top style="thin">
        <color indexed="64"/>
      </top>
      <bottom style="thin">
        <color indexed="64"/>
      </bottom>
      <diagonal/>
    </border>
    <border>
      <left/>
      <right/>
      <top style="thin">
        <color indexed="64"/>
      </top>
      <bottom/>
      <diagonal/>
    </border>
    <border>
      <left style="thin">
        <color auto="1"/>
      </left>
      <right/>
      <top style="thin">
        <color indexed="64"/>
      </top>
      <bottom style="thin">
        <color indexed="64"/>
      </bottom>
      <diagonal/>
    </border>
    <border>
      <left/>
      <right/>
      <top style="thin">
        <color indexed="64"/>
      </top>
      <bottom style="thin">
        <color indexed="64"/>
      </bottom>
      <diagonal/>
    </border>
    <border>
      <left/>
      <right style="thin">
        <color auto="1"/>
      </right>
      <top style="thin">
        <color indexed="64"/>
      </top>
      <bottom style="thin">
        <color indexed="64"/>
      </bottom>
      <diagonal/>
    </border>
    <border>
      <left/>
      <right/>
      <top/>
      <bottom style="thin">
        <color auto="1"/>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right/>
      <top/>
      <bottom style="medium">
        <color indexed="64"/>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thin">
        <color indexed="64"/>
      </right>
      <top style="medium">
        <color indexed="64"/>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auto="1"/>
      </left>
      <right style="thin">
        <color auto="1"/>
      </right>
      <top style="thin">
        <color indexed="64"/>
      </top>
      <bottom/>
      <diagonal/>
    </border>
    <border>
      <left/>
      <right/>
      <top style="medium">
        <color indexed="64"/>
      </top>
      <bottom style="thin">
        <color indexed="64"/>
      </bottom>
      <diagonal/>
    </border>
    <border>
      <left/>
      <right style="medium">
        <color indexed="64"/>
      </right>
      <top style="medium">
        <color indexed="64"/>
      </top>
      <bottom/>
      <diagonal/>
    </border>
    <border>
      <left style="thin">
        <color auto="1"/>
      </left>
      <right style="thin">
        <color auto="1"/>
      </right>
      <top/>
      <bottom style="thin">
        <color indexed="64"/>
      </bottom>
      <diagonal/>
    </border>
    <border>
      <left/>
      <right style="thin">
        <color indexed="64"/>
      </right>
      <top/>
      <bottom style="medium">
        <color indexed="64"/>
      </bottom>
      <diagonal/>
    </border>
  </borders>
  <cellStyleXfs count="6">
    <xf numFmtId="0" fontId="0" fillId="0" borderId="0">
      <alignment vertical="center"/>
    </xf>
    <xf numFmtId="0" fontId="9" fillId="4" borderId="0" applyNumberFormat="0" applyBorder="0" applyAlignment="0" applyProtection="0"/>
    <xf numFmtId="0" fontId="10" fillId="5" borderId="1" applyNumberFormat="0" applyAlignment="0" applyProtection="0"/>
    <xf numFmtId="0" fontId="11" fillId="6" borderId="0" applyNumberFormat="0" applyBorder="0" applyAlignment="0" applyProtection="0"/>
    <xf numFmtId="0" fontId="11" fillId="7" borderId="0" applyNumberFormat="0" applyBorder="0" applyAlignment="0" applyProtection="0"/>
    <xf numFmtId="0" fontId="32" fillId="14" borderId="0" applyNumberFormat="0" applyBorder="0" applyAlignment="0" applyProtection="0">
      <alignment vertical="center"/>
    </xf>
  </cellStyleXfs>
  <cellXfs count="493">
    <xf numFmtId="0" fontId="0" fillId="0" borderId="0" xfId="0">
      <alignment vertical="center"/>
    </xf>
    <xf numFmtId="0" fontId="0" fillId="3" borderId="0" xfId="0" applyFill="1">
      <alignment vertical="center"/>
    </xf>
    <xf numFmtId="0" fontId="7" fillId="2" borderId="0" xfId="0" applyFont="1" applyFill="1">
      <alignment vertical="center"/>
    </xf>
    <xf numFmtId="0" fontId="8" fillId="2" borderId="0" xfId="0" applyFont="1" applyFill="1" applyAlignment="1">
      <alignment horizontal="center" vertical="center"/>
    </xf>
    <xf numFmtId="0" fontId="0" fillId="2" borderId="0" xfId="0" applyFill="1" applyProtection="1">
      <alignment vertical="center"/>
      <protection locked="0"/>
    </xf>
    <xf numFmtId="0" fontId="7" fillId="2" borderId="0" xfId="0" applyFont="1" applyFill="1" applyProtection="1">
      <alignment vertical="center"/>
      <protection locked="0"/>
    </xf>
    <xf numFmtId="49" fontId="13" fillId="2" borderId="0" xfId="0" applyNumberFormat="1" applyFont="1" applyFill="1" applyProtection="1">
      <alignment vertical="center"/>
      <protection locked="0"/>
    </xf>
    <xf numFmtId="0" fontId="15" fillId="2" borderId="0" xfId="0" applyFont="1" applyFill="1" applyProtection="1">
      <alignment vertical="center"/>
      <protection locked="0"/>
    </xf>
    <xf numFmtId="176" fontId="7" fillId="0" borderId="0" xfId="0" applyNumberFormat="1" applyFont="1" applyProtection="1">
      <alignment vertical="center"/>
      <protection locked="0"/>
    </xf>
    <xf numFmtId="0" fontId="7" fillId="0" borderId="0" xfId="0" applyFont="1">
      <alignment vertical="center"/>
    </xf>
    <xf numFmtId="0" fontId="8" fillId="0" borderId="0" xfId="0" applyFont="1" applyAlignment="1">
      <alignment horizontal="center" vertical="center"/>
    </xf>
    <xf numFmtId="176" fontId="21" fillId="0" borderId="0" xfId="0" applyNumberFormat="1" applyFont="1" applyAlignment="1" applyProtection="1">
      <alignment horizontal="center" vertical="center"/>
      <protection locked="0"/>
    </xf>
    <xf numFmtId="176" fontId="7" fillId="0" borderId="0" xfId="0" applyNumberFormat="1" applyFont="1" applyAlignment="1" applyProtection="1">
      <alignment horizontal="center" vertical="center"/>
      <protection locked="0"/>
    </xf>
    <xf numFmtId="49" fontId="14" fillId="2" borderId="0" xfId="0" applyNumberFormat="1" applyFont="1" applyFill="1" applyAlignment="1" applyProtection="1">
      <alignment horizontal="left" vertical="center"/>
      <protection locked="0"/>
    </xf>
    <xf numFmtId="0" fontId="0" fillId="2" borderId="0" xfId="0" applyFill="1">
      <alignment vertical="center"/>
    </xf>
    <xf numFmtId="0" fontId="14" fillId="2" borderId="0" xfId="0" applyFont="1" applyFill="1" applyAlignment="1" applyProtection="1">
      <alignment horizontal="left" vertical="center"/>
      <protection locked="0"/>
    </xf>
    <xf numFmtId="0" fontId="14" fillId="2" borderId="0" xfId="0" applyFont="1" applyFill="1" applyAlignment="1" applyProtection="1">
      <alignment vertical="top"/>
      <protection locked="0"/>
    </xf>
    <xf numFmtId="0" fontId="12" fillId="2" borderId="0" xfId="0" applyFont="1" applyFill="1">
      <alignment vertical="center"/>
    </xf>
    <xf numFmtId="0" fontId="0" fillId="2" borderId="0" xfId="0" applyFill="1" applyAlignment="1">
      <alignment horizontal="center" vertical="center"/>
    </xf>
    <xf numFmtId="0" fontId="16" fillId="2" borderId="0" xfId="2" applyFont="1" applyFill="1" applyBorder="1" applyAlignment="1" applyProtection="1">
      <alignment horizontal="left" vertical="center"/>
      <protection locked="0"/>
    </xf>
    <xf numFmtId="0" fontId="0" fillId="0" borderId="11" xfId="0" applyBorder="1">
      <alignment vertical="center"/>
    </xf>
    <xf numFmtId="0" fontId="14" fillId="8" borderId="0" xfId="0" applyFont="1" applyFill="1" applyAlignment="1" applyProtection="1">
      <alignment horizontal="left" vertical="center"/>
      <protection locked="0"/>
    </xf>
    <xf numFmtId="0" fontId="7" fillId="0" borderId="0" xfId="0" applyFont="1" applyAlignment="1">
      <alignment horizontal="left" vertical="center"/>
    </xf>
    <xf numFmtId="0" fontId="0" fillId="0" borderId="0" xfId="0" applyAlignment="1">
      <alignment horizontal="left" vertical="center"/>
    </xf>
    <xf numFmtId="0" fontId="0" fillId="8" borderId="0" xfId="0" applyFill="1" applyAlignment="1">
      <alignment horizontal="left" vertical="center"/>
    </xf>
    <xf numFmtId="178" fontId="0" fillId="0" borderId="0" xfId="0" applyNumberFormat="1">
      <alignment vertical="center"/>
    </xf>
    <xf numFmtId="176" fontId="7" fillId="0" borderId="0" xfId="0" applyNumberFormat="1" applyFont="1">
      <alignment vertical="center"/>
    </xf>
    <xf numFmtId="176" fontId="7" fillId="2" borderId="0" xfId="0" applyNumberFormat="1" applyFont="1" applyFill="1">
      <alignment vertical="center"/>
    </xf>
    <xf numFmtId="176" fontId="8" fillId="0" borderId="0" xfId="0" applyNumberFormat="1" applyFont="1" applyAlignment="1">
      <alignment horizontal="center" vertical="center"/>
    </xf>
    <xf numFmtId="176" fontId="8" fillId="2" borderId="0" xfId="0" applyNumberFormat="1" applyFont="1" applyFill="1" applyAlignment="1">
      <alignment horizontal="center" vertical="center"/>
    </xf>
    <xf numFmtId="176" fontId="7" fillId="2" borderId="0" xfId="0" applyNumberFormat="1" applyFont="1" applyFill="1" applyProtection="1">
      <alignment vertical="center"/>
      <protection locked="0"/>
    </xf>
    <xf numFmtId="176" fontId="22" fillId="2" borderId="0" xfId="0" applyNumberFormat="1" applyFont="1" applyFill="1" applyProtection="1">
      <alignment vertical="center"/>
      <protection locked="0"/>
    </xf>
    <xf numFmtId="176" fontId="19" fillId="0" borderId="21" xfId="0" applyNumberFormat="1" applyFont="1" applyBorder="1" applyAlignment="1" applyProtection="1">
      <alignment horizontal="center" vertical="center"/>
      <protection locked="0"/>
    </xf>
    <xf numFmtId="176" fontId="21" fillId="0" borderId="0" xfId="0" applyNumberFormat="1" applyFont="1" applyProtection="1">
      <alignment vertical="center"/>
      <protection locked="0"/>
    </xf>
    <xf numFmtId="176" fontId="7" fillId="12" borderId="0" xfId="0" applyNumberFormat="1" applyFont="1" applyFill="1" applyProtection="1">
      <alignment vertical="center"/>
      <protection locked="0"/>
    </xf>
    <xf numFmtId="176" fontId="28" fillId="12" borderId="11" xfId="0" applyNumberFormat="1" applyFont="1" applyFill="1" applyBorder="1">
      <alignment vertical="center"/>
    </xf>
    <xf numFmtId="176" fontId="7" fillId="0" borderId="14" xfId="0" applyNumberFormat="1" applyFont="1" applyBorder="1" applyAlignment="1" applyProtection="1">
      <alignment horizontal="center" vertical="center"/>
      <protection locked="0"/>
    </xf>
    <xf numFmtId="176" fontId="7" fillId="0" borderId="15" xfId="0" applyNumberFormat="1" applyFont="1" applyBorder="1" applyAlignment="1" applyProtection="1">
      <alignment horizontal="center" vertical="center"/>
      <protection locked="0"/>
    </xf>
    <xf numFmtId="176" fontId="0" fillId="0" borderId="0" xfId="0" applyNumberFormat="1" applyAlignment="1" applyProtection="1">
      <alignment horizontal="center" vertical="center"/>
      <protection locked="0"/>
    </xf>
    <xf numFmtId="176" fontId="7" fillId="11" borderId="0" xfId="0" applyNumberFormat="1" applyFont="1" applyFill="1" applyProtection="1">
      <alignment vertical="center"/>
      <protection locked="0"/>
    </xf>
    <xf numFmtId="176" fontId="0" fillId="0" borderId="10" xfId="0" applyNumberFormat="1" applyBorder="1" applyProtection="1">
      <alignment vertical="center"/>
      <protection locked="0"/>
    </xf>
    <xf numFmtId="176" fontId="0" fillId="0" borderId="0" xfId="0" applyNumberFormat="1">
      <alignment vertical="center"/>
    </xf>
    <xf numFmtId="176" fontId="7" fillId="0" borderId="16" xfId="0" applyNumberFormat="1" applyFont="1" applyBorder="1" applyProtection="1">
      <alignment vertical="center"/>
      <protection locked="0"/>
    </xf>
    <xf numFmtId="176" fontId="0" fillId="0" borderId="0" xfId="0" applyNumberFormat="1" applyProtection="1">
      <alignment vertical="center"/>
      <protection locked="0"/>
    </xf>
    <xf numFmtId="0" fontId="2" fillId="0" borderId="0" xfId="0" applyFont="1">
      <alignment vertical="center"/>
    </xf>
    <xf numFmtId="0" fontId="4" fillId="0" borderId="0" xfId="0" applyFont="1">
      <alignment vertical="center"/>
    </xf>
    <xf numFmtId="0" fontId="6" fillId="0" borderId="0" xfId="0" applyFont="1" applyAlignment="1">
      <alignment vertical="center" wrapText="1"/>
    </xf>
    <xf numFmtId="0" fontId="15" fillId="8" borderId="0" xfId="0" applyFont="1" applyFill="1" applyAlignment="1" applyProtection="1">
      <alignment horizontal="left" vertical="center"/>
      <protection locked="0"/>
    </xf>
    <xf numFmtId="180" fontId="0" fillId="2" borderId="0" xfId="0" applyNumberFormat="1" applyFill="1">
      <alignment vertical="center"/>
    </xf>
    <xf numFmtId="0" fontId="15" fillId="2" borderId="0" xfId="2" applyFont="1" applyFill="1" applyBorder="1" applyAlignment="1" applyProtection="1">
      <alignment horizontal="center" vertical="center"/>
      <protection locked="0"/>
    </xf>
    <xf numFmtId="177" fontId="15" fillId="2" borderId="0" xfId="2" applyNumberFormat="1" applyFont="1" applyFill="1" applyBorder="1" applyAlignment="1" applyProtection="1">
      <alignment horizontal="center" vertical="center"/>
      <protection locked="0"/>
    </xf>
    <xf numFmtId="177" fontId="14" fillId="2" borderId="0" xfId="0" applyNumberFormat="1" applyFont="1" applyFill="1" applyAlignment="1" applyProtection="1">
      <alignment horizontal="left" vertical="center"/>
      <protection locked="0"/>
    </xf>
    <xf numFmtId="177" fontId="0" fillId="2" borderId="0" xfId="0" applyNumberFormat="1" applyFill="1" applyAlignment="1">
      <alignment horizontal="left" vertical="center"/>
    </xf>
    <xf numFmtId="176" fontId="15" fillId="0" borderId="0" xfId="0" applyNumberFormat="1" applyFont="1" applyAlignment="1">
      <alignment horizontal="center" vertical="center"/>
    </xf>
    <xf numFmtId="49" fontId="23" fillId="2" borderId="0" xfId="0" applyNumberFormat="1" applyFont="1" applyFill="1" applyAlignment="1" applyProtection="1">
      <alignment horizontal="center" vertical="center"/>
      <protection locked="0"/>
    </xf>
    <xf numFmtId="2" fontId="25" fillId="2" borderId="0" xfId="0" applyNumberFormat="1" applyFont="1" applyFill="1" applyAlignment="1" applyProtection="1">
      <alignment horizontal="center" vertical="center" wrapText="1"/>
      <protection locked="0"/>
    </xf>
    <xf numFmtId="0" fontId="0" fillId="0" borderId="0" xfId="0" applyAlignment="1">
      <alignment horizontal="centerContinuous" vertical="center"/>
    </xf>
    <xf numFmtId="0" fontId="0" fillId="0" borderId="0" xfId="0" applyAlignment="1">
      <alignment horizontal="center" vertical="center"/>
    </xf>
    <xf numFmtId="177" fontId="15" fillId="2" borderId="0" xfId="0" applyNumberFormat="1" applyFont="1" applyFill="1" applyAlignment="1">
      <alignment horizontal="center" vertical="center"/>
    </xf>
    <xf numFmtId="177" fontId="0" fillId="2" borderId="0" xfId="0" applyNumberFormat="1" applyFill="1" applyAlignment="1">
      <alignment horizontal="center" vertical="center"/>
    </xf>
    <xf numFmtId="176" fontId="14" fillId="2" borderId="2" xfId="0" applyNumberFormat="1" applyFont="1" applyFill="1" applyBorder="1" applyAlignment="1" applyProtection="1">
      <alignment horizontal="center" vertical="center"/>
      <protection locked="0"/>
    </xf>
    <xf numFmtId="0" fontId="15" fillId="0" borderId="0" xfId="2" applyFont="1" applyFill="1" applyBorder="1" applyAlignment="1" applyProtection="1">
      <alignment horizontal="center" vertical="center"/>
      <protection locked="0"/>
    </xf>
    <xf numFmtId="176" fontId="14" fillId="16" borderId="2" xfId="0" applyNumberFormat="1" applyFont="1" applyFill="1" applyBorder="1" applyAlignment="1" applyProtection="1">
      <alignment horizontal="center" vertical="center"/>
      <protection locked="0"/>
    </xf>
    <xf numFmtId="179" fontId="14" fillId="16" borderId="2" xfId="0" applyNumberFormat="1" applyFont="1" applyFill="1" applyBorder="1" applyAlignment="1" applyProtection="1">
      <alignment horizontal="center" vertical="center"/>
      <protection locked="0"/>
    </xf>
    <xf numFmtId="176" fontId="34" fillId="2" borderId="0" xfId="0" applyNumberFormat="1" applyFont="1" applyFill="1" applyProtection="1">
      <alignment vertical="center"/>
      <protection locked="0"/>
    </xf>
    <xf numFmtId="176" fontId="38" fillId="2" borderId="0" xfId="0" applyNumberFormat="1" applyFont="1" applyFill="1" applyProtection="1">
      <alignment vertical="center"/>
      <protection locked="0"/>
    </xf>
    <xf numFmtId="176" fontId="34" fillId="0" borderId="0" xfId="0" applyNumberFormat="1" applyFont="1" applyProtection="1">
      <alignment vertical="center"/>
      <protection locked="0"/>
    </xf>
    <xf numFmtId="176" fontId="28" fillId="2" borderId="0" xfId="0" applyNumberFormat="1" applyFont="1" applyFill="1" applyProtection="1">
      <alignment vertical="center"/>
      <protection locked="0"/>
    </xf>
    <xf numFmtId="176" fontId="34" fillId="2" borderId="0" xfId="0" applyNumberFormat="1" applyFont="1" applyFill="1" applyAlignment="1" applyProtection="1">
      <alignment horizontal="center" vertical="center"/>
      <protection locked="0"/>
    </xf>
    <xf numFmtId="176" fontId="39" fillId="2" borderId="0" xfId="0" applyNumberFormat="1" applyFont="1" applyFill="1" applyAlignment="1" applyProtection="1">
      <alignment horizontal="left" vertical="center"/>
      <protection locked="0"/>
    </xf>
    <xf numFmtId="176" fontId="28" fillId="2" borderId="0" xfId="0" applyNumberFormat="1" applyFont="1" applyFill="1" applyAlignment="1" applyProtection="1">
      <alignment horizontal="center" vertical="center"/>
      <protection locked="0"/>
    </xf>
    <xf numFmtId="176" fontId="28" fillId="0" borderId="0" xfId="0" applyNumberFormat="1" applyFont="1" applyAlignment="1" applyProtection="1">
      <alignment horizontal="center" vertical="center"/>
      <protection locked="0"/>
    </xf>
    <xf numFmtId="176" fontId="39" fillId="16" borderId="0" xfId="0" applyNumberFormat="1" applyFont="1" applyFill="1" applyAlignment="1" applyProtection="1">
      <alignment horizontal="left" vertical="center" wrapText="1"/>
      <protection locked="0"/>
    </xf>
    <xf numFmtId="176" fontId="34" fillId="2" borderId="2" xfId="0" applyNumberFormat="1" applyFont="1" applyFill="1" applyBorder="1" applyAlignment="1" applyProtection="1">
      <alignment horizontal="center" vertical="center"/>
      <protection locked="0"/>
    </xf>
    <xf numFmtId="176" fontId="39" fillId="10" borderId="0" xfId="0" applyNumberFormat="1" applyFont="1" applyFill="1" applyAlignment="1" applyProtection="1">
      <alignment vertical="top"/>
      <protection locked="0"/>
    </xf>
    <xf numFmtId="176" fontId="28" fillId="2" borderId="0" xfId="2" applyNumberFormat="1" applyFont="1" applyFill="1" applyBorder="1" applyAlignment="1" applyProtection="1">
      <alignment horizontal="center" vertical="center"/>
      <protection locked="0"/>
    </xf>
    <xf numFmtId="176" fontId="39" fillId="2" borderId="0" xfId="0" applyNumberFormat="1" applyFont="1" applyFill="1" applyAlignment="1" applyProtection="1">
      <alignment horizontal="left" vertical="top"/>
      <protection locked="0"/>
    </xf>
    <xf numFmtId="176" fontId="34" fillId="0" borderId="0" xfId="0" applyNumberFormat="1" applyFont="1" applyAlignment="1" applyProtection="1">
      <alignment horizontal="center" vertical="center"/>
      <protection locked="0"/>
    </xf>
    <xf numFmtId="176" fontId="43" fillId="2" borderId="0" xfId="2" applyNumberFormat="1" applyFont="1" applyFill="1" applyBorder="1" applyAlignment="1" applyProtection="1">
      <alignment horizontal="left" vertical="center"/>
      <protection locked="0"/>
    </xf>
    <xf numFmtId="176" fontId="44" fillId="2" borderId="0" xfId="2" applyNumberFormat="1" applyFont="1" applyFill="1" applyBorder="1" applyAlignment="1" applyProtection="1">
      <alignment horizontal="left" vertical="center"/>
      <protection locked="0"/>
    </xf>
    <xf numFmtId="176" fontId="34" fillId="15" borderId="22" xfId="5" applyNumberFormat="1" applyFont="1" applyFill="1" applyBorder="1" applyAlignment="1" applyProtection="1">
      <alignment horizontal="center" vertical="center"/>
      <protection locked="0"/>
    </xf>
    <xf numFmtId="176" fontId="34" fillId="2" borderId="2" xfId="0" applyNumberFormat="1" applyFont="1" applyFill="1" applyBorder="1" applyAlignment="1" applyProtection="1">
      <alignment horizontal="left" vertical="center"/>
      <protection locked="0"/>
    </xf>
    <xf numFmtId="178" fontId="47" fillId="12" borderId="8" xfId="0" applyNumberFormat="1" applyFont="1" applyFill="1" applyBorder="1" applyProtection="1">
      <alignment vertical="center"/>
      <protection locked="0"/>
    </xf>
    <xf numFmtId="178" fontId="28" fillId="12" borderId="9" xfId="0" applyNumberFormat="1" applyFont="1" applyFill="1" applyBorder="1" applyProtection="1">
      <alignment vertical="center"/>
      <protection locked="0"/>
    </xf>
    <xf numFmtId="178" fontId="34" fillId="12" borderId="9" xfId="0" applyNumberFormat="1" applyFont="1" applyFill="1" applyBorder="1" applyProtection="1">
      <alignment vertical="center"/>
      <protection locked="0"/>
    </xf>
    <xf numFmtId="178" fontId="34" fillId="0" borderId="0" xfId="0" applyNumberFormat="1" applyFont="1" applyProtection="1">
      <alignment vertical="center"/>
      <protection locked="0"/>
    </xf>
    <xf numFmtId="178" fontId="7" fillId="0" borderId="0" xfId="0" applyNumberFormat="1" applyFont="1" applyProtection="1">
      <alignment vertical="center"/>
      <protection locked="0"/>
    </xf>
    <xf numFmtId="178" fontId="28" fillId="12" borderId="10" xfId="0" applyNumberFormat="1" applyFont="1" applyFill="1" applyBorder="1" applyProtection="1">
      <alignment vertical="center"/>
      <protection locked="0"/>
    </xf>
    <xf numFmtId="178" fontId="39" fillId="12" borderId="0" xfId="0" applyNumberFormat="1" applyFont="1" applyFill="1" applyAlignment="1" applyProtection="1">
      <alignment horizontal="left" vertical="center" wrapText="1"/>
      <protection locked="0"/>
    </xf>
    <xf numFmtId="178" fontId="28" fillId="12" borderId="0" xfId="0" applyNumberFormat="1" applyFont="1" applyFill="1" applyAlignment="1" applyProtection="1">
      <alignment horizontal="left" vertical="center"/>
      <protection locked="0"/>
    </xf>
    <xf numFmtId="178" fontId="34" fillId="12" borderId="0" xfId="0" applyNumberFormat="1" applyFont="1" applyFill="1" applyAlignment="1" applyProtection="1">
      <alignment horizontal="left" vertical="center"/>
      <protection locked="0"/>
    </xf>
    <xf numFmtId="178" fontId="49" fillId="12" borderId="0" xfId="0" applyNumberFormat="1" applyFont="1" applyFill="1" applyAlignment="1" applyProtection="1">
      <alignment horizontal="left" vertical="center" wrapText="1"/>
      <protection locked="0"/>
    </xf>
    <xf numFmtId="178" fontId="34" fillId="12" borderId="0" xfId="0" applyNumberFormat="1" applyFont="1" applyFill="1" applyProtection="1">
      <alignment vertical="center"/>
      <protection locked="0"/>
    </xf>
    <xf numFmtId="178" fontId="39" fillId="12" borderId="0" xfId="0" applyNumberFormat="1" applyFont="1" applyFill="1" applyAlignment="1" applyProtection="1">
      <alignment horizontal="left" vertical="center"/>
      <protection locked="0"/>
    </xf>
    <xf numFmtId="178" fontId="34" fillId="12" borderId="10" xfId="0" applyNumberFormat="1" applyFont="1" applyFill="1" applyBorder="1" applyProtection="1">
      <alignment vertical="center"/>
      <protection locked="0"/>
    </xf>
    <xf numFmtId="178" fontId="28" fillId="12" borderId="13" xfId="0" applyNumberFormat="1" applyFont="1" applyFill="1" applyBorder="1" applyProtection="1">
      <alignment vertical="center"/>
      <protection locked="0"/>
    </xf>
    <xf numFmtId="178" fontId="28" fillId="12" borderId="11" xfId="0" applyNumberFormat="1" applyFont="1" applyFill="1" applyBorder="1" applyProtection="1">
      <alignment vertical="center"/>
      <protection locked="0"/>
    </xf>
    <xf numFmtId="178" fontId="34" fillId="12" borderId="11" xfId="0" applyNumberFormat="1" applyFont="1" applyFill="1" applyBorder="1" applyProtection="1">
      <alignment vertical="center"/>
      <protection locked="0"/>
    </xf>
    <xf numFmtId="178" fontId="28" fillId="11" borderId="10" xfId="0" applyNumberFormat="1" applyFont="1" applyFill="1" applyBorder="1" applyAlignment="1" applyProtection="1">
      <alignment horizontal="center" vertical="center"/>
      <protection locked="0"/>
    </xf>
    <xf numFmtId="178" fontId="28" fillId="12" borderId="10" xfId="0" applyNumberFormat="1" applyFont="1" applyFill="1" applyBorder="1" applyAlignment="1" applyProtection="1">
      <alignment horizontal="center" vertical="center"/>
      <protection locked="0"/>
    </xf>
    <xf numFmtId="178" fontId="28" fillId="12" borderId="0" xfId="0" applyNumberFormat="1" applyFont="1" applyFill="1" applyProtection="1">
      <alignment vertical="center"/>
      <protection locked="0"/>
    </xf>
    <xf numFmtId="178" fontId="28" fillId="12" borderId="0" xfId="0" applyNumberFormat="1" applyFont="1" applyFill="1" applyAlignment="1" applyProtection="1">
      <alignment horizontal="center" vertical="center"/>
      <protection locked="0"/>
    </xf>
    <xf numFmtId="178" fontId="34" fillId="12" borderId="0" xfId="0" applyNumberFormat="1" applyFont="1" applyFill="1" applyAlignment="1" applyProtection="1">
      <alignment horizontal="center" vertical="center"/>
      <protection locked="0"/>
    </xf>
    <xf numFmtId="178" fontId="28" fillId="16" borderId="0" xfId="0" applyNumberFormat="1" applyFont="1" applyFill="1" applyAlignment="1" applyProtection="1">
      <alignment horizontal="center" vertical="center"/>
      <protection locked="0"/>
    </xf>
    <xf numFmtId="178" fontId="34" fillId="16" borderId="0" xfId="0" applyNumberFormat="1" applyFont="1" applyFill="1" applyAlignment="1" applyProtection="1">
      <alignment horizontal="center" vertical="center"/>
      <protection locked="0"/>
    </xf>
    <xf numFmtId="178" fontId="34" fillId="17" borderId="0" xfId="0" applyNumberFormat="1" applyFont="1" applyFill="1" applyAlignment="1" applyProtection="1">
      <alignment horizontal="center" vertical="center"/>
      <protection locked="0"/>
    </xf>
    <xf numFmtId="178" fontId="28" fillId="17" borderId="0" xfId="0" applyNumberFormat="1" applyFont="1" applyFill="1" applyAlignment="1" applyProtection="1">
      <alignment horizontal="center" vertical="center"/>
      <protection locked="0"/>
    </xf>
    <xf numFmtId="178" fontId="34" fillId="0" borderId="0" xfId="0" applyNumberFormat="1" applyFont="1" applyAlignment="1" applyProtection="1">
      <alignment horizontal="center" vertical="center"/>
      <protection locked="0"/>
    </xf>
    <xf numFmtId="178" fontId="7" fillId="0" borderId="0" xfId="0" applyNumberFormat="1" applyFont="1" applyAlignment="1" applyProtection="1">
      <alignment horizontal="center" vertical="center"/>
      <protection locked="0"/>
    </xf>
    <xf numFmtId="178" fontId="28" fillId="12" borderId="13" xfId="0" applyNumberFormat="1" applyFont="1" applyFill="1" applyBorder="1" applyAlignment="1" applyProtection="1">
      <alignment horizontal="center" vertical="center"/>
      <protection locked="0"/>
    </xf>
    <xf numFmtId="178" fontId="34" fillId="0" borderId="11" xfId="0" applyNumberFormat="1" applyFont="1" applyBorder="1" applyProtection="1">
      <alignment vertical="center"/>
      <protection locked="0"/>
    </xf>
    <xf numFmtId="178" fontId="28" fillId="11" borderId="8" xfId="0" applyNumberFormat="1" applyFont="1" applyFill="1" applyBorder="1" applyAlignment="1" applyProtection="1">
      <alignment horizontal="center" vertical="center"/>
      <protection locked="0"/>
    </xf>
    <xf numFmtId="178" fontId="28" fillId="0" borderId="9" xfId="0" applyNumberFormat="1" applyFont="1" applyBorder="1" applyAlignment="1" applyProtection="1">
      <alignment horizontal="center" vertical="center"/>
      <protection locked="0"/>
    </xf>
    <xf numFmtId="178" fontId="34" fillId="0" borderId="9" xfId="0" applyNumberFormat="1" applyFont="1" applyBorder="1" applyAlignment="1" applyProtection="1">
      <alignment horizontal="center" vertical="center"/>
      <protection locked="0"/>
    </xf>
    <xf numFmtId="178" fontId="0" fillId="0" borderId="9" xfId="0" applyNumberFormat="1" applyBorder="1" applyAlignment="1" applyProtection="1">
      <alignment horizontal="center" vertical="center"/>
      <protection locked="0"/>
    </xf>
    <xf numFmtId="178" fontId="28" fillId="0" borderId="10" xfId="0" applyNumberFormat="1" applyFont="1" applyBorder="1" applyProtection="1">
      <alignment vertical="center"/>
      <protection locked="0"/>
    </xf>
    <xf numFmtId="180" fontId="28" fillId="0" borderId="9" xfId="0" applyNumberFormat="1" applyFont="1" applyBorder="1" applyAlignment="1" applyProtection="1">
      <alignment horizontal="center" vertical="center"/>
      <protection locked="0"/>
    </xf>
    <xf numFmtId="178" fontId="12" fillId="0" borderId="9" xfId="0" applyNumberFormat="1" applyFont="1" applyBorder="1">
      <alignment vertical="center"/>
    </xf>
    <xf numFmtId="176" fontId="0" fillId="2" borderId="0" xfId="0" applyNumberFormat="1" applyFill="1" applyProtection="1">
      <alignment vertical="center"/>
      <protection locked="0"/>
    </xf>
    <xf numFmtId="178" fontId="28" fillId="0" borderId="0" xfId="0" applyNumberFormat="1" applyFont="1" applyAlignment="1" applyProtection="1">
      <alignment horizontal="center" vertical="center"/>
      <protection locked="0"/>
    </xf>
    <xf numFmtId="178" fontId="34" fillId="2" borderId="9" xfId="0" applyNumberFormat="1" applyFont="1" applyFill="1" applyBorder="1" applyProtection="1">
      <alignment vertical="center"/>
      <protection locked="0"/>
    </xf>
    <xf numFmtId="178" fontId="34" fillId="2" borderId="0" xfId="0" applyNumberFormat="1" applyFont="1" applyFill="1" applyProtection="1">
      <alignment vertical="center"/>
      <protection locked="0"/>
    </xf>
    <xf numFmtId="178" fontId="34" fillId="2" borderId="0" xfId="0" applyNumberFormat="1" applyFont="1" applyFill="1" applyAlignment="1" applyProtection="1">
      <alignment horizontal="left" vertical="center"/>
      <protection locked="0"/>
    </xf>
    <xf numFmtId="180" fontId="34" fillId="2" borderId="0" xfId="0" applyNumberFormat="1" applyFont="1" applyFill="1" applyProtection="1">
      <alignment vertical="center"/>
      <protection locked="0"/>
    </xf>
    <xf numFmtId="10" fontId="34" fillId="2" borderId="0" xfId="0" applyNumberFormat="1" applyFont="1" applyFill="1" applyProtection="1">
      <alignment vertical="center"/>
      <protection locked="0"/>
    </xf>
    <xf numFmtId="178" fontId="34" fillId="2" borderId="11" xfId="0" applyNumberFormat="1" applyFont="1" applyFill="1" applyBorder="1" applyProtection="1">
      <alignment vertical="center"/>
      <protection locked="0"/>
    </xf>
    <xf numFmtId="10" fontId="34" fillId="2" borderId="2" xfId="0" applyNumberFormat="1" applyFont="1" applyFill="1" applyBorder="1" applyAlignment="1" applyProtection="1">
      <alignment horizontal="center" vertical="center"/>
      <protection locked="0"/>
    </xf>
    <xf numFmtId="176" fontId="34" fillId="2" borderId="2" xfId="0" applyNumberFormat="1" applyFont="1" applyFill="1" applyBorder="1" applyProtection="1">
      <alignment vertical="center"/>
      <protection locked="0"/>
    </xf>
    <xf numFmtId="176" fontId="34" fillId="2" borderId="4" xfId="0" applyNumberFormat="1" applyFont="1" applyFill="1" applyBorder="1" applyProtection="1">
      <alignment vertical="center"/>
      <protection locked="0"/>
    </xf>
    <xf numFmtId="176" fontId="34" fillId="2" borderId="5" xfId="0" applyNumberFormat="1" applyFont="1" applyFill="1" applyBorder="1" applyProtection="1">
      <alignment vertical="center"/>
      <protection locked="0"/>
    </xf>
    <xf numFmtId="176" fontId="34" fillId="2" borderId="6" xfId="0" applyNumberFormat="1" applyFont="1" applyFill="1" applyBorder="1" applyProtection="1">
      <alignment vertical="center"/>
      <protection locked="0"/>
    </xf>
    <xf numFmtId="178" fontId="7" fillId="2" borderId="0" xfId="0" applyNumberFormat="1" applyFont="1" applyFill="1" applyProtection="1">
      <alignment vertical="center"/>
      <protection locked="0"/>
    </xf>
    <xf numFmtId="176" fontId="2" fillId="0" borderId="0" xfId="0" applyNumberFormat="1" applyFont="1">
      <alignment vertical="center"/>
    </xf>
    <xf numFmtId="176" fontId="4" fillId="0" borderId="0" xfId="0" applyNumberFormat="1" applyFont="1">
      <alignment vertical="center"/>
    </xf>
    <xf numFmtId="176" fontId="6" fillId="0" borderId="0" xfId="0" applyNumberFormat="1" applyFont="1" applyAlignment="1">
      <alignment vertical="center" wrapText="1"/>
    </xf>
    <xf numFmtId="176" fontId="13" fillId="2" borderId="0" xfId="0" applyNumberFormat="1" applyFont="1" applyFill="1" applyProtection="1">
      <alignment vertical="center"/>
      <protection locked="0"/>
    </xf>
    <xf numFmtId="176" fontId="14" fillId="2" borderId="0" xfId="0" applyNumberFormat="1" applyFont="1" applyFill="1" applyAlignment="1" applyProtection="1">
      <alignment horizontal="center" vertical="center"/>
      <protection locked="0"/>
    </xf>
    <xf numFmtId="176" fontId="14" fillId="16" borderId="0" xfId="0" applyNumberFormat="1" applyFont="1" applyFill="1" applyAlignment="1" applyProtection="1">
      <alignment horizontal="left" vertical="top"/>
      <protection locked="0"/>
    </xf>
    <xf numFmtId="176" fontId="15" fillId="2" borderId="0" xfId="0" applyNumberFormat="1" applyFont="1" applyFill="1" applyProtection="1">
      <alignment vertical="center"/>
      <protection locked="0"/>
    </xf>
    <xf numFmtId="176" fontId="14" fillId="2" borderId="0" xfId="0" applyNumberFormat="1" applyFont="1" applyFill="1" applyProtection="1">
      <alignment vertical="center"/>
      <protection locked="0"/>
    </xf>
    <xf numFmtId="176" fontId="16" fillId="2" borderId="0" xfId="2" applyNumberFormat="1" applyFont="1" applyFill="1" applyBorder="1" applyAlignment="1" applyProtection="1">
      <alignment vertical="center"/>
      <protection locked="0"/>
    </xf>
    <xf numFmtId="176" fontId="7" fillId="2" borderId="0" xfId="0" applyNumberFormat="1" applyFont="1" applyFill="1" applyAlignment="1" applyProtection="1">
      <alignment horizontal="center" vertical="center"/>
      <protection locked="0"/>
    </xf>
    <xf numFmtId="176" fontId="55" fillId="2" borderId="0" xfId="0" applyNumberFormat="1" applyFont="1" applyFill="1" applyAlignment="1" applyProtection="1">
      <alignment horizontal="left" vertical="center"/>
      <protection locked="0"/>
    </xf>
    <xf numFmtId="176" fontId="56" fillId="2" borderId="0" xfId="0" applyNumberFormat="1" applyFont="1" applyFill="1" applyProtection="1">
      <alignment vertical="center"/>
      <protection locked="0"/>
    </xf>
    <xf numFmtId="176" fontId="57" fillId="2" borderId="0" xfId="0" applyNumberFormat="1" applyFont="1" applyFill="1" applyProtection="1">
      <alignment vertical="center"/>
      <protection locked="0"/>
    </xf>
    <xf numFmtId="176" fontId="7" fillId="2" borderId="2" xfId="0" applyNumberFormat="1" applyFont="1" applyFill="1" applyBorder="1" applyProtection="1">
      <alignment vertical="center"/>
      <protection locked="0"/>
    </xf>
    <xf numFmtId="176" fontId="7" fillId="16" borderId="2" xfId="0" applyNumberFormat="1" applyFont="1" applyFill="1" applyBorder="1" applyAlignment="1" applyProtection="1">
      <alignment horizontal="center" vertical="center"/>
      <protection locked="0"/>
    </xf>
    <xf numFmtId="176" fontId="58" fillId="16" borderId="2" xfId="0" applyNumberFormat="1" applyFont="1" applyFill="1" applyBorder="1" applyAlignment="1" applyProtection="1">
      <alignment horizontal="center" vertical="center"/>
      <protection locked="0"/>
    </xf>
    <xf numFmtId="176" fontId="58" fillId="8" borderId="2" xfId="2" applyNumberFormat="1" applyFont="1" applyFill="1" applyBorder="1" applyAlignment="1" applyProtection="1">
      <alignment horizontal="center" vertical="center"/>
      <protection locked="0"/>
    </xf>
    <xf numFmtId="176" fontId="58" fillId="8" borderId="2" xfId="0" applyNumberFormat="1" applyFont="1" applyFill="1" applyBorder="1" applyAlignment="1" applyProtection="1">
      <alignment horizontal="center" vertical="center"/>
      <protection locked="0"/>
    </xf>
    <xf numFmtId="176" fontId="58" fillId="2" borderId="0" xfId="2" applyNumberFormat="1" applyFont="1" applyFill="1" applyBorder="1" applyAlignment="1" applyProtection="1">
      <alignment horizontal="center" vertical="center"/>
      <protection locked="0"/>
    </xf>
    <xf numFmtId="176" fontId="58" fillId="2" borderId="0" xfId="0" applyNumberFormat="1" applyFont="1" applyFill="1" applyAlignment="1" applyProtection="1">
      <alignment horizontal="center" vertical="center"/>
      <protection locked="0"/>
    </xf>
    <xf numFmtId="176" fontId="58" fillId="0" borderId="0" xfId="0" applyNumberFormat="1" applyFont="1" applyAlignment="1" applyProtection="1">
      <alignment horizontal="center" vertical="center"/>
      <protection locked="0"/>
    </xf>
    <xf numFmtId="176" fontId="58" fillId="16" borderId="2" xfId="2" applyNumberFormat="1" applyFont="1" applyFill="1" applyBorder="1" applyAlignment="1" applyProtection="1">
      <alignment horizontal="center" vertical="center"/>
      <protection locked="0"/>
    </xf>
    <xf numFmtId="176" fontId="14" fillId="10" borderId="0" xfId="0" applyNumberFormat="1" applyFont="1" applyFill="1" applyAlignment="1" applyProtection="1">
      <alignment vertical="top"/>
      <protection locked="0"/>
    </xf>
    <xf numFmtId="176" fontId="14" fillId="2" borderId="0" xfId="0" applyNumberFormat="1" applyFont="1" applyFill="1" applyAlignment="1" applyProtection="1">
      <alignment horizontal="center" vertical="top"/>
      <protection locked="0"/>
    </xf>
    <xf numFmtId="176" fontId="14" fillId="2" borderId="0" xfId="0" applyNumberFormat="1" applyFont="1" applyFill="1" applyAlignment="1" applyProtection="1">
      <alignment horizontal="left" vertical="top"/>
      <protection locked="0"/>
    </xf>
    <xf numFmtId="176" fontId="14" fillId="16" borderId="0" xfId="0" applyNumberFormat="1" applyFont="1" applyFill="1" applyAlignment="1" applyProtection="1">
      <alignment horizontal="left" vertical="center"/>
      <protection locked="0"/>
    </xf>
    <xf numFmtId="179" fontId="14" fillId="16" borderId="0" xfId="0" applyNumberFormat="1" applyFont="1" applyFill="1" applyAlignment="1" applyProtection="1">
      <alignment horizontal="left" vertical="center"/>
      <protection locked="0"/>
    </xf>
    <xf numFmtId="176" fontId="7" fillId="8" borderId="2" xfId="0" applyNumberFormat="1" applyFont="1" applyFill="1" applyBorder="1" applyAlignment="1" applyProtection="1">
      <alignment horizontal="center" vertical="center"/>
      <protection locked="0"/>
    </xf>
    <xf numFmtId="176" fontId="14" fillId="2" borderId="0" xfId="0" applyNumberFormat="1" applyFont="1" applyFill="1" applyAlignment="1" applyProtection="1">
      <alignment horizontal="left" vertical="center"/>
      <protection locked="0"/>
    </xf>
    <xf numFmtId="176" fontId="60" fillId="2" borderId="3" xfId="2" applyNumberFormat="1" applyFont="1" applyFill="1" applyBorder="1" applyAlignment="1" applyProtection="1">
      <alignment horizontal="left" vertical="center"/>
      <protection locked="0"/>
    </xf>
    <xf numFmtId="176" fontId="61" fillId="2" borderId="3" xfId="2" applyNumberFormat="1" applyFont="1" applyFill="1" applyBorder="1" applyAlignment="1" applyProtection="1">
      <alignment horizontal="left" vertical="center"/>
      <protection locked="0"/>
    </xf>
    <xf numFmtId="176" fontId="61" fillId="2" borderId="0" xfId="2" applyNumberFormat="1" applyFont="1" applyFill="1" applyBorder="1" applyAlignment="1" applyProtection="1">
      <alignment horizontal="left" vertical="center"/>
      <protection locked="0"/>
    </xf>
    <xf numFmtId="176" fontId="16" fillId="2" borderId="0" xfId="2" applyNumberFormat="1" applyFont="1" applyFill="1" applyBorder="1" applyAlignment="1" applyProtection="1">
      <alignment horizontal="center" vertical="center"/>
      <protection locked="0"/>
    </xf>
    <xf numFmtId="176" fontId="14" fillId="2" borderId="7" xfId="0" applyNumberFormat="1" applyFont="1" applyFill="1" applyBorder="1" applyAlignment="1" applyProtection="1">
      <alignment horizontal="center" vertical="center"/>
      <protection locked="0"/>
    </xf>
    <xf numFmtId="176" fontId="14" fillId="2" borderId="7" xfId="0" applyNumberFormat="1" applyFont="1" applyFill="1" applyBorder="1" applyAlignment="1" applyProtection="1">
      <alignment horizontal="left" vertical="center"/>
      <protection locked="0"/>
    </xf>
    <xf numFmtId="176" fontId="7" fillId="2" borderId="22" xfId="0" applyNumberFormat="1" applyFont="1" applyFill="1" applyBorder="1" applyAlignment="1" applyProtection="1">
      <alignment horizontal="center" vertical="center"/>
      <protection locked="0"/>
    </xf>
    <xf numFmtId="176" fontId="7" fillId="15" borderId="22" xfId="5" applyNumberFormat="1" applyFont="1" applyFill="1" applyBorder="1" applyAlignment="1" applyProtection="1">
      <alignment horizontal="center" vertical="center"/>
      <protection locked="0"/>
    </xf>
    <xf numFmtId="176" fontId="0" fillId="2" borderId="22" xfId="0" applyNumberFormat="1" applyFill="1" applyBorder="1" applyAlignment="1">
      <alignment horizontal="left" vertical="center"/>
    </xf>
    <xf numFmtId="176" fontId="63" fillId="2" borderId="17" xfId="0" applyNumberFormat="1" applyFont="1" applyFill="1" applyBorder="1" applyAlignment="1">
      <alignment horizontal="left" vertical="center"/>
    </xf>
    <xf numFmtId="176" fontId="63" fillId="2" borderId="7" xfId="0" applyNumberFormat="1" applyFont="1" applyFill="1" applyBorder="1" applyAlignment="1">
      <alignment horizontal="left" vertical="center"/>
    </xf>
    <xf numFmtId="176" fontId="63" fillId="2" borderId="18" xfId="0" applyNumberFormat="1" applyFont="1" applyFill="1" applyBorder="1" applyAlignment="1">
      <alignment horizontal="left" vertical="center"/>
    </xf>
    <xf numFmtId="176" fontId="0" fillId="2" borderId="2" xfId="0" applyNumberFormat="1" applyFill="1" applyBorder="1" applyAlignment="1" applyProtection="1">
      <alignment horizontal="center" vertical="center"/>
      <protection locked="0"/>
    </xf>
    <xf numFmtId="176" fontId="0" fillId="15" borderId="2" xfId="0" applyNumberFormat="1" applyFill="1" applyBorder="1" applyAlignment="1">
      <alignment horizontal="center" vertical="center"/>
    </xf>
    <xf numFmtId="176" fontId="7" fillId="2" borderId="2" xfId="0" applyNumberFormat="1" applyFont="1" applyFill="1" applyBorder="1" applyAlignment="1" applyProtection="1">
      <alignment horizontal="left" vertical="center"/>
      <protection locked="0"/>
    </xf>
    <xf numFmtId="176" fontId="63" fillId="2" borderId="4" xfId="0" applyNumberFormat="1" applyFont="1" applyFill="1" applyBorder="1" applyAlignment="1">
      <alignment horizontal="left" vertical="center"/>
    </xf>
    <xf numFmtId="176" fontId="63" fillId="2" borderId="5" xfId="0" applyNumberFormat="1" applyFont="1" applyFill="1" applyBorder="1" applyAlignment="1">
      <alignment horizontal="left" vertical="center"/>
    </xf>
    <xf numFmtId="176" fontId="63" fillId="2" borderId="6" xfId="0" applyNumberFormat="1" applyFont="1" applyFill="1" applyBorder="1" applyAlignment="1">
      <alignment horizontal="left" vertical="center"/>
    </xf>
    <xf numFmtId="176" fontId="65" fillId="12" borderId="8" xfId="0" applyNumberFormat="1" applyFont="1" applyFill="1" applyBorder="1" applyProtection="1">
      <alignment vertical="center"/>
      <protection locked="0"/>
    </xf>
    <xf numFmtId="176" fontId="0" fillId="12" borderId="9" xfId="0" applyNumberFormat="1" applyFill="1" applyBorder="1" applyProtection="1">
      <alignment vertical="center"/>
      <protection locked="0"/>
    </xf>
    <xf numFmtId="176" fontId="7" fillId="12" borderId="9" xfId="0" applyNumberFormat="1" applyFont="1" applyFill="1" applyBorder="1" applyProtection="1">
      <alignment vertical="center"/>
      <protection locked="0"/>
    </xf>
    <xf numFmtId="176" fontId="7" fillId="12" borderId="21" xfId="0" applyNumberFormat="1" applyFont="1" applyFill="1" applyBorder="1" applyProtection="1">
      <alignment vertical="center"/>
      <protection locked="0"/>
    </xf>
    <xf numFmtId="176" fontId="0" fillId="12" borderId="10" xfId="0" applyNumberFormat="1" applyFill="1" applyBorder="1" applyProtection="1">
      <alignment vertical="center"/>
      <protection locked="0"/>
    </xf>
    <xf numFmtId="176" fontId="14" fillId="12" borderId="0" xfId="0" applyNumberFormat="1" applyFont="1" applyFill="1" applyAlignment="1" applyProtection="1">
      <alignment horizontal="left" vertical="center" wrapText="1"/>
      <protection locked="0"/>
    </xf>
    <xf numFmtId="176" fontId="0" fillId="12" borderId="0" xfId="0" applyNumberFormat="1" applyFill="1" applyAlignment="1" applyProtection="1">
      <alignment horizontal="left" vertical="center"/>
      <protection locked="0"/>
    </xf>
    <xf numFmtId="176" fontId="0" fillId="12" borderId="0" xfId="0" applyNumberFormat="1" applyFill="1" applyAlignment="1">
      <alignment horizontal="left" vertical="center"/>
    </xf>
    <xf numFmtId="176" fontId="7" fillId="12" borderId="0" xfId="0" applyNumberFormat="1" applyFont="1" applyFill="1" applyAlignment="1" applyProtection="1">
      <alignment horizontal="left" vertical="center"/>
      <protection locked="0"/>
    </xf>
    <xf numFmtId="176" fontId="66" fillId="12" borderId="0" xfId="0" applyNumberFormat="1" applyFont="1" applyFill="1" applyAlignment="1" applyProtection="1">
      <alignment horizontal="left" vertical="center" wrapText="1"/>
      <protection locked="0"/>
    </xf>
    <xf numFmtId="176" fontId="7" fillId="12" borderId="12" xfId="0" applyNumberFormat="1" applyFont="1" applyFill="1" applyBorder="1" applyProtection="1">
      <alignment vertical="center"/>
      <protection locked="0"/>
    </xf>
    <xf numFmtId="176" fontId="14" fillId="12" borderId="0" xfId="0" applyNumberFormat="1" applyFont="1" applyFill="1" applyAlignment="1" applyProtection="1">
      <alignment horizontal="left" vertical="center"/>
      <protection locked="0"/>
    </xf>
    <xf numFmtId="176" fontId="7" fillId="12" borderId="10" xfId="0" applyNumberFormat="1" applyFont="1" applyFill="1" applyBorder="1" applyProtection="1">
      <alignment vertical="center"/>
      <protection locked="0"/>
    </xf>
    <xf numFmtId="176" fontId="0" fillId="12" borderId="13" xfId="0" applyNumberFormat="1" applyFill="1" applyBorder="1" applyProtection="1">
      <alignment vertical="center"/>
      <protection locked="0"/>
    </xf>
    <xf numFmtId="176" fontId="0" fillId="12" borderId="11" xfId="0" applyNumberFormat="1" applyFill="1" applyBorder="1" applyProtection="1">
      <alignment vertical="center"/>
      <protection locked="0"/>
    </xf>
    <xf numFmtId="176" fontId="7" fillId="12" borderId="11" xfId="0" applyNumberFormat="1" applyFont="1" applyFill="1" applyBorder="1" applyProtection="1">
      <alignment vertical="center"/>
      <protection locked="0"/>
    </xf>
    <xf numFmtId="176" fontId="7" fillId="12" borderId="14" xfId="0" applyNumberFormat="1" applyFont="1" applyFill="1" applyBorder="1" applyProtection="1">
      <alignment vertical="center"/>
      <protection locked="0"/>
    </xf>
    <xf numFmtId="176" fontId="58" fillId="11" borderId="10" xfId="0" applyNumberFormat="1" applyFont="1" applyFill="1" applyBorder="1" applyAlignment="1" applyProtection="1">
      <alignment horizontal="center" vertical="center"/>
      <protection locked="0"/>
    </xf>
    <xf numFmtId="176" fontId="19" fillId="0" borderId="0" xfId="0" applyNumberFormat="1" applyFont="1">
      <alignment vertical="center"/>
    </xf>
    <xf numFmtId="176" fontId="26" fillId="0" borderId="0" xfId="0" applyNumberFormat="1" applyFont="1">
      <alignment vertical="center"/>
    </xf>
    <xf numFmtId="176" fontId="21" fillId="16" borderId="0" xfId="4" applyNumberFormat="1" applyFont="1" applyFill="1" applyAlignment="1">
      <alignment vertical="center"/>
    </xf>
    <xf numFmtId="176" fontId="67" fillId="17" borderId="0" xfId="1" applyNumberFormat="1" applyFont="1" applyFill="1" applyAlignment="1">
      <alignment vertical="center"/>
    </xf>
    <xf numFmtId="176" fontId="67" fillId="17" borderId="9" xfId="1" applyNumberFormat="1" applyFont="1" applyFill="1" applyBorder="1" applyAlignment="1">
      <alignment vertical="center"/>
    </xf>
    <xf numFmtId="176" fontId="19" fillId="0" borderId="9" xfId="0" applyNumberFormat="1" applyFont="1" applyBorder="1">
      <alignment vertical="center"/>
    </xf>
    <xf numFmtId="176" fontId="0" fillId="12" borderId="10" xfId="0" applyNumberFormat="1" applyFill="1" applyBorder="1" applyAlignment="1" applyProtection="1">
      <alignment horizontal="center" vertical="center"/>
      <protection locked="0"/>
    </xf>
    <xf numFmtId="176" fontId="0" fillId="12" borderId="0" xfId="0" applyNumberFormat="1" applyFill="1" applyProtection="1">
      <alignment vertical="center"/>
      <protection locked="0"/>
    </xf>
    <xf numFmtId="176" fontId="0" fillId="12" borderId="0" xfId="0" applyNumberFormat="1" applyFill="1" applyAlignment="1" applyProtection="1">
      <alignment horizontal="center" vertical="center"/>
      <protection locked="0"/>
    </xf>
    <xf numFmtId="176" fontId="7" fillId="12" borderId="0" xfId="0" applyNumberFormat="1" applyFont="1" applyFill="1" applyAlignment="1" applyProtection="1">
      <alignment horizontal="center" vertical="center"/>
      <protection locked="0"/>
    </xf>
    <xf numFmtId="176" fontId="28" fillId="12" borderId="0" xfId="0" applyNumberFormat="1" applyFont="1" applyFill="1" applyAlignment="1" applyProtection="1">
      <alignment horizontal="center" vertical="center"/>
      <protection locked="0"/>
    </xf>
    <xf numFmtId="176" fontId="0" fillId="16" borderId="0" xfId="0" applyNumberFormat="1" applyFill="1" applyAlignment="1" applyProtection="1">
      <alignment horizontal="center" vertical="center"/>
      <protection locked="0"/>
    </xf>
    <xf numFmtId="176" fontId="7" fillId="16" borderId="0" xfId="0" applyNumberFormat="1" applyFont="1" applyFill="1" applyAlignment="1" applyProtection="1">
      <alignment horizontal="center" vertical="center"/>
      <protection locked="0"/>
    </xf>
    <xf numFmtId="176" fontId="7" fillId="17" borderId="0" xfId="0" applyNumberFormat="1" applyFont="1" applyFill="1" applyAlignment="1" applyProtection="1">
      <alignment horizontal="center" vertical="center"/>
      <protection locked="0"/>
    </xf>
    <xf numFmtId="176" fontId="0" fillId="17" borderId="0" xfId="0" applyNumberFormat="1" applyFill="1" applyAlignment="1" applyProtection="1">
      <alignment horizontal="center" vertical="center"/>
      <protection locked="0"/>
    </xf>
    <xf numFmtId="176" fontId="0" fillId="12" borderId="13" xfId="0" applyNumberFormat="1" applyFill="1" applyBorder="1" applyAlignment="1" applyProtection="1">
      <alignment horizontal="center" vertical="center"/>
      <protection locked="0"/>
    </xf>
    <xf numFmtId="176" fontId="0" fillId="12" borderId="11" xfId="0" applyNumberFormat="1" applyFill="1" applyBorder="1">
      <alignment vertical="center"/>
    </xf>
    <xf numFmtId="176" fontId="0" fillId="16" borderId="11" xfId="0" applyNumberFormat="1" applyFill="1" applyBorder="1">
      <alignment vertical="center"/>
    </xf>
    <xf numFmtId="176" fontId="0" fillId="16" borderId="0" xfId="0" applyNumberFormat="1" applyFill="1">
      <alignment vertical="center"/>
    </xf>
    <xf numFmtId="176" fontId="0" fillId="17" borderId="11" xfId="0" applyNumberFormat="1" applyFill="1" applyBorder="1">
      <alignment vertical="center"/>
    </xf>
    <xf numFmtId="176" fontId="0" fillId="0" borderId="11" xfId="0" applyNumberFormat="1" applyBorder="1">
      <alignment vertical="center"/>
    </xf>
    <xf numFmtId="176" fontId="7" fillId="0" borderId="11" xfId="0" applyNumberFormat="1" applyFont="1" applyBorder="1" applyProtection="1">
      <alignment vertical="center"/>
      <protection locked="0"/>
    </xf>
    <xf numFmtId="176" fontId="0" fillId="11" borderId="8" xfId="0" applyNumberFormat="1" applyFill="1" applyBorder="1" applyAlignment="1" applyProtection="1">
      <alignment horizontal="center" vertical="center"/>
      <protection locked="0"/>
    </xf>
    <xf numFmtId="176" fontId="0" fillId="0" borderId="9" xfId="0" applyNumberFormat="1" applyBorder="1" applyAlignment="1" applyProtection="1">
      <alignment horizontal="center" vertical="center"/>
      <protection locked="0"/>
    </xf>
    <xf numFmtId="176" fontId="28" fillId="0" borderId="9" xfId="0" applyNumberFormat="1" applyFont="1" applyBorder="1" applyAlignment="1" applyProtection="1">
      <alignment horizontal="center" vertical="center"/>
      <protection locked="0"/>
    </xf>
    <xf numFmtId="176" fontId="0" fillId="13" borderId="9" xfId="0" applyNumberFormat="1" applyFill="1" applyBorder="1">
      <alignment vertical="center"/>
    </xf>
    <xf numFmtId="176" fontId="0" fillId="0" borderId="9" xfId="0" applyNumberFormat="1" applyBorder="1">
      <alignment vertical="center"/>
    </xf>
    <xf numFmtId="176" fontId="7" fillId="0" borderId="9" xfId="0" applyNumberFormat="1" applyFont="1" applyBorder="1" applyAlignment="1" applyProtection="1">
      <alignment horizontal="center" vertical="center"/>
      <protection locked="0"/>
    </xf>
    <xf numFmtId="176" fontId="68" fillId="6" borderId="0" xfId="3" applyNumberFormat="1" applyFont="1" applyAlignment="1">
      <alignment vertical="center"/>
    </xf>
    <xf numFmtId="176" fontId="69" fillId="0" borderId="0" xfId="0" applyNumberFormat="1" applyFont="1">
      <alignment vertical="center"/>
    </xf>
    <xf numFmtId="176" fontId="28" fillId="0" borderId="0" xfId="0" applyNumberFormat="1" applyFont="1">
      <alignment vertical="center"/>
    </xf>
    <xf numFmtId="176" fontId="0" fillId="8" borderId="0" xfId="0" applyNumberFormat="1" applyFill="1">
      <alignment vertical="center"/>
    </xf>
    <xf numFmtId="176" fontId="11" fillId="0" borderId="0" xfId="3" applyNumberFormat="1" applyFill="1" applyAlignment="1">
      <alignment vertical="center"/>
    </xf>
    <xf numFmtId="176" fontId="0" fillId="17" borderId="0" xfId="0" applyNumberFormat="1" applyFill="1">
      <alignment vertical="center"/>
    </xf>
    <xf numFmtId="176" fontId="7" fillId="16" borderId="0" xfId="0" applyNumberFormat="1" applyFont="1" applyFill="1">
      <alignment vertical="center"/>
    </xf>
    <xf numFmtId="176" fontId="58" fillId="16" borderId="0" xfId="1" applyNumberFormat="1" applyFont="1" applyFill="1" applyAlignment="1">
      <alignment vertical="center"/>
    </xf>
    <xf numFmtId="176" fontId="0" fillId="18" borderId="0" xfId="0" applyNumberFormat="1" applyFill="1">
      <alignment vertical="center"/>
    </xf>
    <xf numFmtId="176" fontId="0" fillId="19" borderId="0" xfId="0" applyNumberFormat="1" applyFill="1">
      <alignment vertical="center"/>
    </xf>
    <xf numFmtId="176" fontId="0" fillId="18" borderId="0" xfId="0" applyNumberFormat="1" applyFill="1" applyProtection="1">
      <alignment vertical="center"/>
      <protection locked="0"/>
    </xf>
    <xf numFmtId="176" fontId="7" fillId="18" borderId="0" xfId="0" applyNumberFormat="1" applyFont="1" applyFill="1" applyProtection="1">
      <alignment vertical="center"/>
      <protection locked="0"/>
    </xf>
    <xf numFmtId="176" fontId="7" fillId="0" borderId="16" xfId="0" applyNumberFormat="1" applyFont="1" applyBorder="1" applyAlignment="1" applyProtection="1">
      <alignment horizontal="center" vertical="center"/>
      <protection locked="0"/>
    </xf>
    <xf numFmtId="176" fontId="7" fillId="0" borderId="11" xfId="0" applyNumberFormat="1" applyFont="1" applyBorder="1" applyAlignment="1" applyProtection="1">
      <alignment horizontal="center" vertical="center"/>
      <protection locked="0"/>
    </xf>
    <xf numFmtId="176" fontId="7" fillId="0" borderId="23" xfId="0" applyNumberFormat="1" applyFont="1" applyBorder="1" applyAlignment="1" applyProtection="1">
      <alignment horizontal="center" vertical="center"/>
      <protection locked="0"/>
    </xf>
    <xf numFmtId="176" fontId="0" fillId="0" borderId="15" xfId="0" applyNumberFormat="1" applyBorder="1" applyAlignment="1" applyProtection="1">
      <alignment horizontal="center" vertical="center"/>
      <protection locked="0"/>
    </xf>
    <xf numFmtId="176" fontId="6" fillId="3" borderId="0" xfId="0" applyNumberFormat="1" applyFont="1" applyFill="1" applyAlignment="1">
      <alignment horizontal="center" vertical="center" wrapText="1"/>
    </xf>
    <xf numFmtId="176" fontId="42" fillId="2" borderId="0" xfId="0" applyNumberFormat="1" applyFont="1" applyFill="1" applyAlignment="1" applyProtection="1">
      <alignment horizontal="left" vertical="center"/>
      <protection locked="0"/>
    </xf>
    <xf numFmtId="176" fontId="39" fillId="10" borderId="0" xfId="0" applyNumberFormat="1" applyFont="1" applyFill="1" applyAlignment="1" applyProtection="1">
      <alignment horizontal="left" vertical="center"/>
      <protection locked="0"/>
    </xf>
    <xf numFmtId="176" fontId="40" fillId="2" borderId="0" xfId="0" applyNumberFormat="1" applyFont="1" applyFill="1" applyAlignment="1" applyProtection="1">
      <alignment vertical="top"/>
      <protection locked="0"/>
    </xf>
    <xf numFmtId="176" fontId="26" fillId="2" borderId="0" xfId="0" applyNumberFormat="1" applyFont="1" applyFill="1" applyProtection="1">
      <alignment vertical="center"/>
      <protection locked="0"/>
    </xf>
    <xf numFmtId="176" fontId="39" fillId="2" borderId="0" xfId="0" applyNumberFormat="1" applyFont="1" applyFill="1" applyAlignment="1" applyProtection="1">
      <alignment vertical="center" wrapText="1"/>
      <protection locked="0"/>
    </xf>
    <xf numFmtId="176" fontId="28" fillId="2" borderId="0" xfId="2" applyNumberFormat="1" applyFont="1" applyFill="1" applyBorder="1" applyAlignment="1" applyProtection="1">
      <alignment vertical="center"/>
      <protection locked="0"/>
    </xf>
    <xf numFmtId="176" fontId="28" fillId="2" borderId="0" xfId="2" applyNumberFormat="1" applyFont="1" applyFill="1" applyBorder="1" applyAlignment="1" applyProtection="1">
      <alignment horizontal="left" vertical="center"/>
      <protection locked="0"/>
    </xf>
    <xf numFmtId="176" fontId="0" fillId="2" borderId="0" xfId="0" applyNumberFormat="1" applyFill="1" applyAlignment="1" applyProtection="1">
      <alignment horizontal="left" vertical="center"/>
      <protection locked="0"/>
    </xf>
    <xf numFmtId="176" fontId="70" fillId="2" borderId="0" xfId="0" applyNumberFormat="1" applyFont="1" applyFill="1" applyAlignment="1" applyProtection="1">
      <alignment horizontal="left" vertical="center"/>
      <protection locked="0"/>
    </xf>
    <xf numFmtId="178" fontId="28" fillId="12" borderId="9" xfId="0" applyNumberFormat="1" applyFont="1" applyFill="1" applyBorder="1" applyAlignment="1" applyProtection="1">
      <alignment horizontal="left" vertical="center"/>
      <protection locked="0"/>
    </xf>
    <xf numFmtId="176" fontId="75" fillId="2" borderId="0" xfId="0" applyNumberFormat="1" applyFont="1" applyFill="1" applyAlignment="1" applyProtection="1">
      <alignment horizontal="center" vertical="center"/>
      <protection locked="0"/>
    </xf>
    <xf numFmtId="176" fontId="77" fillId="2" borderId="0" xfId="0" applyNumberFormat="1" applyFont="1" applyFill="1" applyAlignment="1" applyProtection="1">
      <alignment horizontal="center" vertical="center"/>
      <protection locked="0"/>
    </xf>
    <xf numFmtId="176" fontId="78" fillId="2" borderId="0" xfId="0" applyNumberFormat="1" applyFont="1" applyFill="1" applyAlignment="1" applyProtection="1">
      <alignment horizontal="center" vertical="center"/>
      <protection locked="0"/>
    </xf>
    <xf numFmtId="176" fontId="78" fillId="2" borderId="0" xfId="0" applyNumberFormat="1" applyFont="1" applyFill="1" applyAlignment="1" applyProtection="1">
      <alignment horizontal="center" vertical="top"/>
      <protection locked="0"/>
    </xf>
    <xf numFmtId="176" fontId="39" fillId="2" borderId="0" xfId="0" applyNumberFormat="1" applyFont="1" applyFill="1" applyAlignment="1" applyProtection="1">
      <alignment horizontal="left" vertical="center" wrapText="1"/>
      <protection locked="0"/>
    </xf>
    <xf numFmtId="176" fontId="28" fillId="8" borderId="0" xfId="0" applyNumberFormat="1" applyFont="1" applyFill="1" applyAlignment="1" applyProtection="1">
      <alignment horizontal="center" vertical="center"/>
      <protection locked="0"/>
    </xf>
    <xf numFmtId="176" fontId="39" fillId="8" borderId="0" xfId="0" applyNumberFormat="1" applyFont="1" applyFill="1" applyAlignment="1" applyProtection="1">
      <alignment horizontal="left" vertical="top"/>
      <protection locked="0"/>
    </xf>
    <xf numFmtId="176" fontId="39" fillId="8" borderId="0" xfId="0" applyNumberFormat="1" applyFont="1" applyFill="1" applyAlignment="1" applyProtection="1">
      <alignment horizontal="left" vertical="center" wrapText="1"/>
      <protection locked="0"/>
    </xf>
    <xf numFmtId="176" fontId="39" fillId="8" borderId="0" xfId="0" applyNumberFormat="1" applyFont="1" applyFill="1" applyAlignment="1" applyProtection="1">
      <alignment horizontal="left" vertical="center"/>
      <protection locked="0"/>
    </xf>
    <xf numFmtId="181" fontId="39" fillId="8" borderId="0" xfId="0" applyNumberFormat="1" applyFont="1" applyFill="1" applyAlignment="1" applyProtection="1">
      <alignment horizontal="left" vertical="center"/>
      <protection locked="0"/>
    </xf>
    <xf numFmtId="181" fontId="28" fillId="8" borderId="0" xfId="0" applyNumberFormat="1" applyFont="1" applyFill="1" applyAlignment="1" applyProtection="1">
      <alignment horizontal="center" vertical="center"/>
      <protection locked="0"/>
    </xf>
    <xf numFmtId="181" fontId="34" fillId="8" borderId="0" xfId="0" applyNumberFormat="1" applyFont="1" applyFill="1" applyAlignment="1" applyProtection="1">
      <alignment horizontal="center" vertical="center"/>
      <protection locked="0"/>
    </xf>
    <xf numFmtId="176" fontId="38" fillId="0" borderId="0" xfId="0" applyNumberFormat="1" applyFont="1" applyProtection="1">
      <alignment vertical="center"/>
      <protection locked="0"/>
    </xf>
    <xf numFmtId="176" fontId="39" fillId="0" borderId="0" xfId="0" applyNumberFormat="1" applyFont="1" applyProtection="1">
      <alignment vertical="center"/>
      <protection locked="0"/>
    </xf>
    <xf numFmtId="176" fontId="71" fillId="0" borderId="0" xfId="0" applyNumberFormat="1" applyFont="1" applyProtection="1">
      <alignment vertical="center"/>
      <protection locked="0"/>
    </xf>
    <xf numFmtId="176" fontId="41" fillId="0" borderId="0" xfId="2" applyNumberFormat="1" applyFont="1" applyFill="1" applyBorder="1" applyAlignment="1" applyProtection="1">
      <alignment vertical="center"/>
      <protection locked="0"/>
    </xf>
    <xf numFmtId="176" fontId="71" fillId="0" borderId="0" xfId="0" applyNumberFormat="1" applyFont="1" applyAlignment="1" applyProtection="1">
      <alignment horizontal="center" vertical="center"/>
      <protection locked="0"/>
    </xf>
    <xf numFmtId="176" fontId="74" fillId="0" borderId="0" xfId="0" applyNumberFormat="1" applyFont="1" applyProtection="1">
      <alignment vertical="center"/>
      <protection locked="0"/>
    </xf>
    <xf numFmtId="176" fontId="28" fillId="0" borderId="0" xfId="2" applyNumberFormat="1" applyFont="1" applyFill="1" applyBorder="1" applyAlignment="1" applyProtection="1">
      <alignment horizontal="center" vertical="center"/>
      <protection locked="0"/>
    </xf>
    <xf numFmtId="176" fontId="28" fillId="0" borderId="0" xfId="0" applyNumberFormat="1" applyFont="1" applyProtection="1">
      <alignment vertical="center"/>
      <protection locked="0"/>
    </xf>
    <xf numFmtId="176" fontId="41" fillId="0" borderId="0" xfId="2" applyNumberFormat="1" applyFont="1" applyFill="1" applyBorder="1" applyAlignment="1" applyProtection="1">
      <alignment horizontal="center" vertical="center"/>
      <protection locked="0"/>
    </xf>
    <xf numFmtId="176" fontId="34" fillId="0" borderId="11" xfId="0" applyNumberFormat="1" applyFont="1" applyBorder="1" applyProtection="1">
      <alignment vertical="center"/>
      <protection locked="0"/>
    </xf>
    <xf numFmtId="0" fontId="34" fillId="8" borderId="0" xfId="0" applyFont="1" applyFill="1" applyAlignment="1" applyProtection="1">
      <alignment horizontal="left" vertical="center"/>
      <protection locked="0"/>
    </xf>
    <xf numFmtId="178" fontId="47" fillId="0" borderId="9" xfId="0" applyNumberFormat="1" applyFont="1" applyBorder="1" applyAlignment="1" applyProtection="1">
      <alignment horizontal="center" vertical="center"/>
      <protection locked="0"/>
    </xf>
    <xf numFmtId="178" fontId="47" fillId="0" borderId="0" xfId="0" applyNumberFormat="1" applyFont="1" applyAlignment="1" applyProtection="1">
      <alignment horizontal="center" vertical="center"/>
      <protection locked="0"/>
    </xf>
    <xf numFmtId="176" fontId="28" fillId="8" borderId="0" xfId="0" applyNumberFormat="1" applyFont="1" applyFill="1" applyAlignment="1" applyProtection="1">
      <alignment horizontal="center"/>
      <protection locked="0"/>
    </xf>
    <xf numFmtId="176" fontId="75" fillId="2" borderId="0" xfId="0" applyNumberFormat="1" applyFont="1" applyFill="1" applyAlignment="1" applyProtection="1">
      <alignment horizontal="center" vertical="top"/>
      <protection locked="0"/>
    </xf>
    <xf numFmtId="176" fontId="28" fillId="2" borderId="0" xfId="0" applyNumberFormat="1" applyFont="1" applyFill="1" applyAlignment="1" applyProtection="1">
      <alignment horizontal="center" vertical="top"/>
      <protection locked="0"/>
    </xf>
    <xf numFmtId="176" fontId="46" fillId="2" borderId="0" xfId="2" applyNumberFormat="1" applyFont="1" applyFill="1" applyBorder="1" applyAlignment="1" applyProtection="1">
      <alignment horizontal="left" vertical="top"/>
      <protection locked="0"/>
    </xf>
    <xf numFmtId="176" fontId="75" fillId="2" borderId="22" xfId="0" applyNumberFormat="1" applyFont="1" applyFill="1" applyBorder="1" applyAlignment="1" applyProtection="1">
      <alignment horizontal="center" vertical="center"/>
      <protection locked="0"/>
    </xf>
    <xf numFmtId="176" fontId="77" fillId="2" borderId="2" xfId="0" applyNumberFormat="1" applyFont="1" applyFill="1" applyBorder="1" applyAlignment="1" applyProtection="1">
      <alignment horizontal="center" vertical="center"/>
      <protection locked="0"/>
    </xf>
    <xf numFmtId="176" fontId="85" fillId="2" borderId="2" xfId="0" applyNumberFormat="1" applyFont="1" applyFill="1" applyBorder="1" applyAlignment="1" applyProtection="1">
      <alignment horizontal="center" vertical="center"/>
      <protection locked="0"/>
    </xf>
    <xf numFmtId="176" fontId="46" fillId="2" borderId="0" xfId="0" applyNumberFormat="1" applyFont="1" applyFill="1" applyAlignment="1" applyProtection="1">
      <alignment horizontal="left" vertical="center"/>
      <protection locked="0"/>
    </xf>
    <xf numFmtId="0" fontId="75" fillId="9" borderId="2" xfId="2" applyFont="1" applyFill="1" applyBorder="1" applyAlignment="1" applyProtection="1">
      <alignment horizontal="center" vertical="center"/>
      <protection locked="0"/>
    </xf>
    <xf numFmtId="177" fontId="75" fillId="9" borderId="2" xfId="2" applyNumberFormat="1" applyFont="1" applyFill="1" applyBorder="1" applyAlignment="1" applyProtection="1">
      <alignment horizontal="center" vertical="center"/>
      <protection locked="0"/>
    </xf>
    <xf numFmtId="176" fontId="89" fillId="2" borderId="2" xfId="0" applyNumberFormat="1" applyFont="1" applyFill="1" applyBorder="1" applyAlignment="1" applyProtection="1">
      <alignment horizontal="center" vertical="center"/>
      <protection locked="0"/>
    </xf>
    <xf numFmtId="177" fontId="39" fillId="16" borderId="2" xfId="0" applyNumberFormat="1" applyFont="1" applyFill="1" applyBorder="1" applyAlignment="1" applyProtection="1">
      <alignment horizontal="center" vertical="center"/>
      <protection locked="0"/>
    </xf>
    <xf numFmtId="177" fontId="34" fillId="16" borderId="2" xfId="0" applyNumberFormat="1" applyFont="1" applyFill="1" applyBorder="1" applyAlignment="1">
      <alignment horizontal="center" vertical="center"/>
    </xf>
    <xf numFmtId="177" fontId="28" fillId="16" borderId="2" xfId="0" applyNumberFormat="1" applyFont="1" applyFill="1" applyBorder="1" applyAlignment="1">
      <alignment horizontal="center" vertical="center"/>
    </xf>
    <xf numFmtId="2" fontId="91" fillId="8" borderId="2" xfId="0" applyNumberFormat="1" applyFont="1" applyFill="1" applyBorder="1" applyAlignment="1" applyProtection="1">
      <alignment horizontal="center" vertical="center" wrapText="1"/>
      <protection locked="0"/>
    </xf>
    <xf numFmtId="0" fontId="92" fillId="0" borderId="0" xfId="0" applyFont="1">
      <alignment vertical="center"/>
    </xf>
    <xf numFmtId="176" fontId="92" fillId="0" borderId="0" xfId="0" applyNumberFormat="1" applyFont="1" applyAlignment="1">
      <alignment horizontal="center" vertical="center"/>
    </xf>
    <xf numFmtId="176" fontId="92" fillId="0" borderId="0" xfId="0" applyNumberFormat="1" applyFont="1">
      <alignment vertical="center"/>
    </xf>
    <xf numFmtId="176" fontId="92" fillId="0" borderId="0" xfId="2" applyNumberFormat="1" applyFont="1" applyFill="1" applyBorder="1" applyAlignment="1" applyProtection="1">
      <alignment horizontal="center" vertical="center"/>
      <protection locked="0"/>
    </xf>
    <xf numFmtId="0" fontId="32" fillId="0" borderId="0" xfId="0" applyFont="1">
      <alignment vertical="center"/>
    </xf>
    <xf numFmtId="0" fontId="32" fillId="0" borderId="0" xfId="2" applyFont="1" applyFill="1" applyBorder="1" applyAlignment="1" applyProtection="1">
      <alignment horizontal="center" vertical="center"/>
      <protection locked="0"/>
    </xf>
    <xf numFmtId="176" fontId="38" fillId="2" borderId="0" xfId="0" applyNumberFormat="1" applyFont="1" applyFill="1" applyAlignment="1" applyProtection="1">
      <alignment horizontal="left" vertical="center"/>
      <protection locked="0"/>
    </xf>
    <xf numFmtId="176" fontId="39" fillId="2" borderId="0" xfId="0" applyNumberFormat="1" applyFont="1" applyFill="1" applyAlignment="1" applyProtection="1">
      <alignment horizontal="center" vertical="center"/>
      <protection locked="0"/>
    </xf>
    <xf numFmtId="176" fontId="40" fillId="2" borderId="0" xfId="0" applyNumberFormat="1" applyFont="1" applyFill="1" applyProtection="1">
      <alignment vertical="center"/>
      <protection locked="0"/>
    </xf>
    <xf numFmtId="176" fontId="75" fillId="2" borderId="0" xfId="0" applyNumberFormat="1" applyFont="1" applyFill="1" applyAlignment="1" applyProtection="1">
      <alignment horizontal="center"/>
      <protection locked="0"/>
    </xf>
    <xf numFmtId="176" fontId="35" fillId="0" borderId="0" xfId="0" applyNumberFormat="1" applyFont="1" applyProtection="1">
      <alignment vertical="center"/>
      <protection locked="0"/>
    </xf>
    <xf numFmtId="176" fontId="36" fillId="3" borderId="0" xfId="0" applyNumberFormat="1" applyFont="1" applyFill="1" applyProtection="1">
      <alignment vertical="center"/>
      <protection locked="0"/>
    </xf>
    <xf numFmtId="176" fontId="36" fillId="0" borderId="0" xfId="0" applyNumberFormat="1" applyFont="1" applyProtection="1">
      <alignment vertical="center"/>
      <protection locked="0"/>
    </xf>
    <xf numFmtId="178" fontId="37" fillId="0" borderId="0" xfId="0" applyNumberFormat="1" applyFont="1" applyAlignment="1" applyProtection="1">
      <alignment horizontal="center" vertical="center"/>
      <protection locked="0"/>
    </xf>
    <xf numFmtId="176" fontId="37" fillId="0" borderId="0" xfId="0" applyNumberFormat="1" applyFont="1" applyAlignment="1" applyProtection="1">
      <alignment horizontal="center" vertical="center"/>
      <protection locked="0"/>
    </xf>
    <xf numFmtId="176" fontId="8" fillId="0" borderId="0" xfId="0" applyNumberFormat="1" applyFont="1" applyAlignment="1" applyProtection="1">
      <alignment horizontal="center" vertical="center"/>
      <protection locked="0"/>
    </xf>
    <xf numFmtId="176" fontId="8" fillId="2" borderId="0" xfId="0" applyNumberFormat="1" applyFont="1" applyFill="1" applyAlignment="1" applyProtection="1">
      <alignment horizontal="center" vertical="center"/>
      <protection locked="0"/>
    </xf>
    <xf numFmtId="176" fontId="28" fillId="3" borderId="0" xfId="0" applyNumberFormat="1" applyFont="1" applyFill="1" applyAlignment="1" applyProtection="1">
      <alignment vertical="center" wrapText="1"/>
      <protection locked="0"/>
    </xf>
    <xf numFmtId="176" fontId="28" fillId="0" borderId="0" xfId="0" applyNumberFormat="1" applyFont="1" applyAlignment="1" applyProtection="1">
      <alignment vertical="center" wrapText="1"/>
      <protection locked="0"/>
    </xf>
    <xf numFmtId="176" fontId="28" fillId="0" borderId="0" xfId="0" applyNumberFormat="1" applyFont="1" applyAlignment="1" applyProtection="1">
      <alignment horizontal="center" vertical="center" wrapText="1"/>
      <protection locked="0"/>
    </xf>
    <xf numFmtId="0" fontId="0" fillId="0" borderId="0" xfId="0" applyProtection="1">
      <alignment vertical="center"/>
      <protection locked="0"/>
    </xf>
    <xf numFmtId="176" fontId="28" fillId="2" borderId="22" xfId="0" applyNumberFormat="1" applyFont="1" applyFill="1" applyBorder="1" applyAlignment="1" applyProtection="1">
      <alignment horizontal="left" vertical="center"/>
      <protection locked="0"/>
    </xf>
    <xf numFmtId="176" fontId="28" fillId="15" borderId="2" xfId="0" applyNumberFormat="1" applyFont="1" applyFill="1" applyBorder="1" applyAlignment="1" applyProtection="1">
      <alignment horizontal="center" vertical="center"/>
      <protection locked="0"/>
    </xf>
    <xf numFmtId="178" fontId="28" fillId="2" borderId="0" xfId="0" applyNumberFormat="1" applyFont="1" applyFill="1" applyAlignment="1" applyProtection="1">
      <alignment horizontal="left" vertical="center"/>
      <protection locked="0"/>
    </xf>
    <xf numFmtId="178" fontId="26" fillId="0" borderId="0" xfId="0" applyNumberFormat="1" applyFont="1" applyProtection="1">
      <alignment vertical="center"/>
      <protection locked="0"/>
    </xf>
    <xf numFmtId="178" fontId="38" fillId="16" borderId="0" xfId="4" applyNumberFormat="1" applyFont="1" applyFill="1" applyAlignment="1" applyProtection="1">
      <alignment vertical="center"/>
      <protection locked="0"/>
    </xf>
    <xf numFmtId="178" fontId="51" fillId="17" borderId="0" xfId="1" applyNumberFormat="1" applyFont="1" applyFill="1" applyAlignment="1" applyProtection="1">
      <alignment vertical="center"/>
      <protection locked="0"/>
    </xf>
    <xf numFmtId="178" fontId="51" fillId="17" borderId="9" xfId="1" applyNumberFormat="1" applyFont="1" applyFill="1" applyBorder="1" applyAlignment="1" applyProtection="1">
      <alignment vertical="center"/>
      <protection locked="0"/>
    </xf>
    <xf numFmtId="178" fontId="26" fillId="0" borderId="9" xfId="0" applyNumberFormat="1" applyFont="1" applyBorder="1" applyProtection="1">
      <alignment vertical="center"/>
      <protection locked="0"/>
    </xf>
    <xf numFmtId="178" fontId="28" fillId="16" borderId="11" xfId="0" applyNumberFormat="1" applyFont="1" applyFill="1" applyBorder="1" applyProtection="1">
      <alignment vertical="center"/>
      <protection locked="0"/>
    </xf>
    <xf numFmtId="178" fontId="28" fillId="16" borderId="0" xfId="0" applyNumberFormat="1" applyFont="1" applyFill="1" applyProtection="1">
      <alignment vertical="center"/>
      <protection locked="0"/>
    </xf>
    <xf numFmtId="178" fontId="28" fillId="17" borderId="11" xfId="0" applyNumberFormat="1" applyFont="1" applyFill="1" applyBorder="1" applyProtection="1">
      <alignment vertical="center"/>
      <protection locked="0"/>
    </xf>
    <xf numFmtId="178" fontId="28" fillId="0" borderId="11" xfId="0" applyNumberFormat="1" applyFont="1" applyBorder="1" applyProtection="1">
      <alignment vertical="center"/>
      <protection locked="0"/>
    </xf>
    <xf numFmtId="178" fontId="0" fillId="0" borderId="11" xfId="0" applyNumberFormat="1" applyBorder="1" applyProtection="1">
      <alignment vertical="center"/>
      <protection locked="0"/>
    </xf>
    <xf numFmtId="178" fontId="28" fillId="13" borderId="9" xfId="0" applyNumberFormat="1" applyFont="1" applyFill="1" applyBorder="1" applyProtection="1">
      <alignment vertical="center"/>
      <protection locked="0"/>
    </xf>
    <xf numFmtId="178" fontId="28" fillId="0" borderId="0" xfId="0" applyNumberFormat="1" applyFont="1" applyProtection="1">
      <alignment vertical="center"/>
      <protection locked="0"/>
    </xf>
    <xf numFmtId="178" fontId="28" fillId="0" borderId="9" xfId="0" applyNumberFormat="1" applyFont="1" applyBorder="1" applyProtection="1">
      <alignment vertical="center"/>
      <protection locked="0"/>
    </xf>
    <xf numFmtId="178" fontId="34" fillId="6" borderId="0" xfId="3" applyNumberFormat="1" applyFont="1" applyAlignment="1" applyProtection="1">
      <alignment vertical="center"/>
      <protection locked="0"/>
    </xf>
    <xf numFmtId="180" fontId="34" fillId="6" borderId="0" xfId="3" applyNumberFormat="1" applyFont="1" applyAlignment="1" applyProtection="1">
      <alignment vertical="center"/>
      <protection locked="0"/>
    </xf>
    <xf numFmtId="178" fontId="28" fillId="8" borderId="0" xfId="0" applyNumberFormat="1" applyFont="1" applyFill="1" applyProtection="1">
      <alignment vertical="center"/>
      <protection locked="0"/>
    </xf>
    <xf numFmtId="178" fontId="52" fillId="0" borderId="0" xfId="3" applyNumberFormat="1" applyFont="1" applyFill="1" applyAlignment="1" applyProtection="1">
      <alignment vertical="center"/>
      <protection locked="0"/>
    </xf>
    <xf numFmtId="178" fontId="11" fillId="0" borderId="0" xfId="3" applyNumberFormat="1" applyFill="1" applyAlignment="1" applyProtection="1">
      <alignment vertical="center"/>
      <protection locked="0"/>
    </xf>
    <xf numFmtId="180" fontId="28" fillId="0" borderId="0" xfId="0" applyNumberFormat="1" applyFont="1" applyProtection="1">
      <alignment vertical="center"/>
      <protection locked="0"/>
    </xf>
    <xf numFmtId="178" fontId="28" fillId="17" borderId="0" xfId="0" applyNumberFormat="1" applyFont="1" applyFill="1" applyProtection="1">
      <alignment vertical="center"/>
      <protection locked="0"/>
    </xf>
    <xf numFmtId="178" fontId="0" fillId="0" borderId="0" xfId="0" applyNumberFormat="1" applyProtection="1">
      <alignment vertical="center"/>
      <protection locked="0"/>
    </xf>
    <xf numFmtId="178" fontId="26" fillId="20" borderId="0" xfId="0" applyNumberFormat="1" applyFont="1" applyFill="1" applyProtection="1">
      <alignment vertical="center"/>
      <protection locked="0"/>
    </xf>
    <xf numFmtId="178" fontId="38" fillId="20" borderId="0" xfId="4" applyNumberFormat="1" applyFont="1" applyFill="1" applyAlignment="1" applyProtection="1">
      <alignment vertical="center"/>
      <protection locked="0"/>
    </xf>
    <xf numFmtId="178" fontId="26" fillId="20" borderId="9" xfId="0" applyNumberFormat="1" applyFont="1" applyFill="1" applyBorder="1" applyProtection="1">
      <alignment vertical="center"/>
      <protection locked="0"/>
    </xf>
    <xf numFmtId="178" fontId="12" fillId="20" borderId="9" xfId="0" applyNumberFormat="1" applyFont="1" applyFill="1" applyBorder="1" applyProtection="1">
      <alignment vertical="center"/>
      <protection locked="0"/>
    </xf>
    <xf numFmtId="182" fontId="28" fillId="0" borderId="0" xfId="0" applyNumberFormat="1" applyFont="1" applyAlignment="1" applyProtection="1">
      <alignment vertical="center" wrapText="1"/>
      <protection locked="0"/>
    </xf>
    <xf numFmtId="182" fontId="28" fillId="0" borderId="0" xfId="0" applyNumberFormat="1" applyFont="1" applyAlignment="1" applyProtection="1">
      <alignment horizontal="center" vertical="center" wrapText="1"/>
      <protection locked="0"/>
    </xf>
    <xf numFmtId="181" fontId="28" fillId="0" borderId="0" xfId="0" applyNumberFormat="1" applyFont="1" applyAlignment="1" applyProtection="1">
      <alignment vertical="center" wrapText="1"/>
      <protection locked="0"/>
    </xf>
    <xf numFmtId="181" fontId="28" fillId="22" borderId="0" xfId="0" applyNumberFormat="1" applyFont="1" applyFill="1" applyAlignment="1" applyProtection="1">
      <alignment horizontal="center"/>
      <protection locked="0"/>
    </xf>
    <xf numFmtId="181" fontId="28" fillId="22" borderId="0" xfId="0" applyNumberFormat="1" applyFont="1" applyFill="1" applyAlignment="1" applyProtection="1">
      <alignment horizontal="center" vertical="center"/>
      <protection locked="0"/>
    </xf>
    <xf numFmtId="0" fontId="96" fillId="0" borderId="0" xfId="0" applyFont="1" applyAlignment="1">
      <alignment horizontal="center" vertical="center"/>
    </xf>
    <xf numFmtId="0" fontId="95" fillId="0" borderId="0" xfId="0" applyFont="1" applyAlignment="1">
      <alignment horizontal="center" vertical="center" wrapText="1"/>
    </xf>
    <xf numFmtId="10" fontId="28" fillId="0" borderId="0" xfId="0" applyNumberFormat="1" applyFont="1" applyProtection="1">
      <alignment vertical="center"/>
      <protection locked="0"/>
    </xf>
    <xf numFmtId="0" fontId="97" fillId="0" borderId="0" xfId="0" applyFont="1" applyAlignment="1">
      <alignment horizontal="center" vertical="center" wrapText="1"/>
    </xf>
    <xf numFmtId="176" fontId="7" fillId="8" borderId="2" xfId="0" applyNumberFormat="1" applyFont="1" applyFill="1" applyBorder="1" applyProtection="1">
      <alignment vertical="center"/>
      <protection locked="0"/>
    </xf>
    <xf numFmtId="176" fontId="102" fillId="2" borderId="0" xfId="2" applyNumberFormat="1" applyFont="1" applyFill="1" applyBorder="1" applyAlignment="1" applyProtection="1">
      <alignment horizontal="left" vertical="center"/>
      <protection locked="0"/>
    </xf>
    <xf numFmtId="176" fontId="103" fillId="0" borderId="0" xfId="0" applyNumberFormat="1" applyFont="1" applyProtection="1">
      <alignment vertical="center"/>
      <protection locked="0"/>
    </xf>
    <xf numFmtId="176" fontId="28" fillId="21" borderId="0" xfId="0" applyNumberFormat="1" applyFont="1" applyFill="1" applyAlignment="1" applyProtection="1">
      <alignment horizontal="center" vertical="center"/>
      <protection locked="0"/>
    </xf>
    <xf numFmtId="181" fontId="28" fillId="2" borderId="0" xfId="0" applyNumberFormat="1" applyFont="1" applyFill="1" applyAlignment="1" applyProtection="1">
      <alignment horizontal="center" vertical="center"/>
      <protection locked="0"/>
    </xf>
    <xf numFmtId="176" fontId="40" fillId="2" borderId="0" xfId="0" applyNumberFormat="1" applyFont="1" applyFill="1" applyAlignment="1" applyProtection="1">
      <alignment horizontal="left" vertical="center"/>
      <protection locked="0"/>
    </xf>
    <xf numFmtId="176" fontId="34" fillId="2" borderId="0" xfId="0" applyNumberFormat="1" applyFont="1" applyFill="1" applyAlignment="1" applyProtection="1">
      <alignment vertical="top"/>
      <protection locked="0"/>
    </xf>
    <xf numFmtId="176" fontId="34" fillId="8" borderId="0" xfId="0" applyNumberFormat="1" applyFont="1" applyFill="1" applyAlignment="1" applyProtection="1">
      <alignment horizontal="left" vertical="top"/>
      <protection locked="0"/>
    </xf>
    <xf numFmtId="176" fontId="34" fillId="2" borderId="0" xfId="0" applyNumberFormat="1" applyFont="1" applyFill="1" applyAlignment="1" applyProtection="1">
      <alignment horizontal="left" vertical="center"/>
      <protection locked="0"/>
    </xf>
    <xf numFmtId="176" fontId="34" fillId="10" borderId="0" xfId="0" applyNumberFormat="1" applyFont="1" applyFill="1" applyAlignment="1" applyProtection="1">
      <alignment vertical="top"/>
      <protection locked="0"/>
    </xf>
    <xf numFmtId="176" fontId="34" fillId="2" borderId="0" xfId="0" applyNumberFormat="1" applyFont="1" applyFill="1" applyAlignment="1" applyProtection="1">
      <alignment horizontal="center" vertical="center" wrapText="1"/>
      <protection locked="0"/>
    </xf>
    <xf numFmtId="176" fontId="71" fillId="2" borderId="0" xfId="0" applyNumberFormat="1" applyFont="1" applyFill="1" applyProtection="1">
      <alignment vertical="center"/>
      <protection locked="0"/>
    </xf>
    <xf numFmtId="176" fontId="28" fillId="2" borderId="0" xfId="2" applyNumberFormat="1" applyFont="1" applyFill="1" applyBorder="1" applyAlignment="1" applyProtection="1">
      <alignment horizontal="left" vertical="top"/>
      <protection locked="0"/>
    </xf>
    <xf numFmtId="176" fontId="34" fillId="8" borderId="0" xfId="0" applyNumberFormat="1" applyFont="1" applyFill="1" applyAlignment="1" applyProtection="1">
      <alignment horizontal="center" vertical="center"/>
      <protection locked="0"/>
    </xf>
    <xf numFmtId="0" fontId="34" fillId="8" borderId="0" xfId="0" applyFont="1" applyFill="1" applyAlignment="1" applyProtection="1">
      <alignment horizontal="center" vertical="center"/>
      <protection locked="0"/>
    </xf>
    <xf numFmtId="176" fontId="85" fillId="2" borderId="0" xfId="0" applyNumberFormat="1" applyFont="1" applyFill="1" applyAlignment="1" applyProtection="1">
      <alignment vertical="top"/>
      <protection locked="0"/>
    </xf>
    <xf numFmtId="176" fontId="85" fillId="2" borderId="0" xfId="0" applyNumberFormat="1" applyFont="1" applyFill="1" applyAlignment="1" applyProtection="1">
      <alignment horizontal="left" vertical="center"/>
      <protection locked="0"/>
    </xf>
    <xf numFmtId="176" fontId="85" fillId="2" borderId="0" xfId="0" applyNumberFormat="1" applyFont="1" applyFill="1" applyProtection="1">
      <alignment vertical="center"/>
      <protection locked="0"/>
    </xf>
    <xf numFmtId="176" fontId="105" fillId="2" borderId="0" xfId="2" applyNumberFormat="1" applyFont="1" applyFill="1" applyBorder="1" applyAlignment="1" applyProtection="1">
      <alignment horizontal="left" vertical="top"/>
      <protection locked="0"/>
    </xf>
    <xf numFmtId="176" fontId="105" fillId="2" borderId="0" xfId="2" applyNumberFormat="1" applyFont="1" applyFill="1" applyBorder="1" applyAlignment="1" applyProtection="1">
      <alignment horizontal="left" vertical="center"/>
      <protection locked="0"/>
    </xf>
    <xf numFmtId="176" fontId="28" fillId="3" borderId="4" xfId="0" applyNumberFormat="1" applyFont="1" applyFill="1" applyBorder="1" applyAlignment="1" applyProtection="1">
      <alignment horizontal="center" vertical="center" wrapText="1"/>
      <protection locked="0"/>
    </xf>
    <xf numFmtId="176" fontId="107" fillId="2" borderId="0" xfId="0" applyNumberFormat="1" applyFont="1" applyFill="1" applyAlignment="1" applyProtection="1">
      <alignment vertical="center" wrapText="1"/>
      <protection locked="0"/>
    </xf>
    <xf numFmtId="0" fontId="109" fillId="2" borderId="0" xfId="0" applyFont="1" applyFill="1" applyAlignment="1">
      <alignment horizontal="center" vertical="center"/>
    </xf>
    <xf numFmtId="176" fontId="48" fillId="2" borderId="0" xfId="0" applyNumberFormat="1" applyFont="1" applyFill="1" applyProtection="1">
      <alignment vertical="center"/>
      <protection locked="0"/>
    </xf>
    <xf numFmtId="0" fontId="105" fillId="2" borderId="0" xfId="0" applyFont="1" applyFill="1">
      <alignment vertical="center"/>
    </xf>
    <xf numFmtId="176" fontId="28" fillId="3" borderId="0" xfId="0" applyNumberFormat="1" applyFont="1" applyFill="1" applyAlignment="1" applyProtection="1">
      <alignment horizontal="center" vertical="center" wrapText="1"/>
      <protection locked="0"/>
    </xf>
    <xf numFmtId="176" fontId="39" fillId="21" borderId="0" xfId="0" applyNumberFormat="1" applyFont="1" applyFill="1" applyAlignment="1" applyProtection="1">
      <alignment horizontal="center" vertical="top"/>
      <protection locked="0"/>
    </xf>
    <xf numFmtId="176" fontId="34" fillId="22" borderId="0" xfId="0" applyNumberFormat="1" applyFont="1" applyFill="1" applyAlignment="1" applyProtection="1">
      <alignment horizontal="center" vertical="center" wrapText="1"/>
      <protection locked="0"/>
    </xf>
    <xf numFmtId="176" fontId="39" fillId="22" borderId="0" xfId="0" applyNumberFormat="1" applyFont="1" applyFill="1" applyAlignment="1" applyProtection="1">
      <alignment horizontal="left" vertical="top"/>
      <protection locked="0"/>
    </xf>
    <xf numFmtId="176" fontId="7" fillId="8" borderId="0" xfId="0" applyNumberFormat="1" applyFont="1" applyFill="1" applyProtection="1">
      <alignment vertical="center"/>
      <protection locked="0"/>
    </xf>
    <xf numFmtId="176" fontId="112" fillId="2" borderId="0" xfId="0" applyNumberFormat="1" applyFont="1" applyFill="1" applyAlignment="1" applyProtection="1">
      <alignment horizontal="center" vertical="center"/>
      <protection locked="0"/>
    </xf>
    <xf numFmtId="176" fontId="34" fillId="21" borderId="0" xfId="0" applyNumberFormat="1" applyFont="1" applyFill="1" applyAlignment="1" applyProtection="1">
      <alignment horizontal="center" vertical="center" wrapText="1"/>
      <protection locked="0"/>
    </xf>
    <xf numFmtId="176" fontId="34" fillId="21" borderId="0" xfId="0" applyNumberFormat="1" applyFont="1" applyFill="1" applyAlignment="1" applyProtection="1">
      <alignment horizontal="left" vertical="top"/>
      <protection locked="0"/>
    </xf>
    <xf numFmtId="0" fontId="0" fillId="0" borderId="0" xfId="0" applyFill="1" applyBorder="1" applyAlignment="1">
      <alignment vertical="center"/>
    </xf>
    <xf numFmtId="0" fontId="0" fillId="0" borderId="11" xfId="0" applyFill="1" applyBorder="1" applyAlignment="1">
      <alignment vertical="center"/>
    </xf>
    <xf numFmtId="0" fontId="0" fillId="0" borderId="20" xfId="0" applyFont="1" applyFill="1" applyBorder="1" applyAlignment="1">
      <alignment horizontal="center" vertical="center"/>
    </xf>
    <xf numFmtId="0" fontId="0" fillId="0" borderId="20" xfId="0" applyFont="1" applyFill="1" applyBorder="1" applyAlignment="1">
      <alignment horizontal="centerContinuous" vertical="center"/>
    </xf>
    <xf numFmtId="0" fontId="0" fillId="2" borderId="0" xfId="0" applyFill="1" applyAlignment="1">
      <alignment horizontal="center" vertical="center"/>
    </xf>
    <xf numFmtId="0" fontId="15" fillId="2" borderId="0" xfId="2" applyFont="1" applyFill="1" applyBorder="1" applyAlignment="1" applyProtection="1">
      <alignment horizontal="center" vertical="center"/>
      <protection locked="0"/>
    </xf>
    <xf numFmtId="0" fontId="0" fillId="0" borderId="0" xfId="0" applyAlignment="1">
      <alignment vertical="center"/>
    </xf>
    <xf numFmtId="0" fontId="89" fillId="2" borderId="2" xfId="2" applyFont="1" applyFill="1" applyBorder="1" applyAlignment="1" applyProtection="1">
      <alignment horizontal="center" vertical="center"/>
      <protection locked="0"/>
    </xf>
    <xf numFmtId="184" fontId="0" fillId="2" borderId="0" xfId="0" applyNumberFormat="1" applyFill="1">
      <alignment vertical="center"/>
    </xf>
    <xf numFmtId="184" fontId="91" fillId="8" borderId="2" xfId="0" applyNumberFormat="1" applyFont="1" applyFill="1" applyBorder="1" applyAlignment="1" applyProtection="1">
      <alignment horizontal="center" vertical="center" wrapText="1"/>
      <protection locked="0"/>
    </xf>
    <xf numFmtId="184" fontId="0" fillId="0" borderId="0" xfId="0" applyNumberFormat="1">
      <alignment vertical="center"/>
    </xf>
    <xf numFmtId="0" fontId="0" fillId="0" borderId="0" xfId="0" applyAlignment="1">
      <alignment horizontal="center" vertical="center" wrapText="1"/>
    </xf>
    <xf numFmtId="177" fontId="0" fillId="0" borderId="0" xfId="0" applyNumberFormat="1" applyAlignment="1">
      <alignment horizontal="center" vertical="center"/>
    </xf>
    <xf numFmtId="177" fontId="0" fillId="0" borderId="0" xfId="0" applyNumberFormat="1">
      <alignment vertical="center"/>
    </xf>
    <xf numFmtId="0" fontId="0" fillId="0" borderId="0" xfId="0" applyFill="1" applyBorder="1">
      <alignment vertical="center"/>
    </xf>
    <xf numFmtId="0" fontId="0" fillId="0" borderId="0" xfId="0" applyFont="1" applyFill="1" applyBorder="1" applyAlignment="1">
      <alignment horizontal="center" vertical="center"/>
    </xf>
    <xf numFmtId="184" fontId="0" fillId="0" borderId="0" xfId="0" applyNumberFormat="1" applyFill="1" applyBorder="1">
      <alignment vertical="center"/>
    </xf>
    <xf numFmtId="177" fontId="39" fillId="8" borderId="2" xfId="0" applyNumberFormat="1" applyFont="1" applyFill="1" applyBorder="1" applyAlignment="1" applyProtection="1">
      <alignment horizontal="center" vertical="center"/>
      <protection locked="0"/>
    </xf>
    <xf numFmtId="177" fontId="28" fillId="8" borderId="2" xfId="0" applyNumberFormat="1" applyFont="1" applyFill="1" applyBorder="1" applyAlignment="1">
      <alignment horizontal="center" vertical="center"/>
    </xf>
    <xf numFmtId="177" fontId="34" fillId="8" borderId="2" xfId="0" applyNumberFormat="1" applyFont="1" applyFill="1" applyBorder="1" applyAlignment="1">
      <alignment horizontal="center" vertical="center"/>
    </xf>
    <xf numFmtId="177" fontId="117" fillId="2" borderId="2" xfId="2" applyNumberFormat="1" applyFont="1" applyFill="1" applyBorder="1" applyAlignment="1" applyProtection="1">
      <alignment horizontal="center" vertical="center"/>
      <protection locked="0"/>
    </xf>
    <xf numFmtId="0" fontId="34" fillId="8" borderId="2" xfId="2" applyFont="1" applyFill="1" applyBorder="1" applyAlignment="1" applyProtection="1">
      <alignment horizontal="center" vertical="center"/>
      <protection locked="0"/>
    </xf>
    <xf numFmtId="0" fontId="0" fillId="0" borderId="0" xfId="0" applyProtection="1">
      <alignment vertical="center"/>
      <protection locked="0"/>
    </xf>
    <xf numFmtId="183" fontId="28" fillId="21" borderId="0" xfId="0" applyNumberFormat="1" applyFont="1" applyFill="1" applyAlignment="1">
      <alignment horizontal="center" vertical="center"/>
    </xf>
    <xf numFmtId="176" fontId="39" fillId="22" borderId="0" xfId="0" applyNumberFormat="1" applyFont="1" applyFill="1" applyAlignment="1" applyProtection="1">
      <alignment horizontal="center" vertical="top"/>
      <protection locked="0"/>
    </xf>
    <xf numFmtId="176" fontId="39" fillId="22" borderId="0" xfId="0" applyNumberFormat="1" applyFont="1" applyFill="1" applyAlignment="1">
      <alignment horizontal="center" vertical="top"/>
    </xf>
    <xf numFmtId="176" fontId="85" fillId="2" borderId="0" xfId="0" applyNumberFormat="1" applyFont="1" applyFill="1" applyAlignment="1" applyProtection="1">
      <alignment horizontal="center" vertical="center" wrapText="1"/>
      <protection locked="0"/>
    </xf>
    <xf numFmtId="176" fontId="108" fillId="2" borderId="0" xfId="0" applyNumberFormat="1" applyFont="1" applyFill="1" applyAlignment="1" applyProtection="1">
      <alignment horizontal="center" vertical="center" wrapText="1"/>
      <protection locked="0"/>
    </xf>
    <xf numFmtId="176" fontId="38" fillId="2" borderId="0" xfId="0" applyNumberFormat="1" applyFont="1" applyFill="1" applyAlignment="1" applyProtection="1">
      <alignment horizontal="left" vertical="center"/>
      <protection locked="0"/>
    </xf>
    <xf numFmtId="176" fontId="106" fillId="2" borderId="0" xfId="0" applyNumberFormat="1" applyFont="1" applyFill="1" applyAlignment="1" applyProtection="1">
      <alignment horizontal="center" vertical="center" wrapText="1"/>
      <protection locked="0"/>
    </xf>
    <xf numFmtId="176" fontId="107" fillId="2" borderId="0" xfId="0" applyNumberFormat="1" applyFont="1" applyFill="1" applyAlignment="1" applyProtection="1">
      <alignment horizontal="center" vertical="center" wrapText="1"/>
      <protection locked="0"/>
    </xf>
    <xf numFmtId="176" fontId="105" fillId="2" borderId="0" xfId="0" applyNumberFormat="1" applyFont="1" applyFill="1" applyAlignment="1" applyProtection="1">
      <alignment horizontal="center" vertical="center" wrapText="1"/>
      <protection locked="0"/>
    </xf>
    <xf numFmtId="176" fontId="7" fillId="8" borderId="0" xfId="0" applyNumberFormat="1" applyFont="1" applyFill="1" applyAlignment="1" applyProtection="1">
      <alignment horizontal="center" vertical="center"/>
      <protection locked="0"/>
    </xf>
    <xf numFmtId="176" fontId="35" fillId="3" borderId="0" xfId="0" applyNumberFormat="1" applyFont="1" applyFill="1" applyAlignment="1" applyProtection="1">
      <alignment horizontal="center" vertical="center"/>
      <protection locked="0"/>
    </xf>
    <xf numFmtId="176" fontId="36" fillId="3" borderId="0" xfId="0" applyNumberFormat="1" applyFont="1" applyFill="1" applyAlignment="1" applyProtection="1">
      <alignment horizontal="center" vertical="center"/>
      <protection locked="0"/>
    </xf>
    <xf numFmtId="176" fontId="28" fillId="3" borderId="0" xfId="0" applyNumberFormat="1" applyFont="1" applyFill="1" applyAlignment="1" applyProtection="1">
      <alignment horizontal="center" vertical="center" wrapText="1"/>
      <protection locked="0"/>
    </xf>
    <xf numFmtId="176" fontId="93" fillId="3" borderId="0" xfId="0" applyNumberFormat="1" applyFont="1" applyFill="1" applyAlignment="1" applyProtection="1">
      <alignment horizontal="center" vertical="center"/>
      <protection locked="0"/>
    </xf>
    <xf numFmtId="176" fontId="93" fillId="3" borderId="0" xfId="0" applyNumberFormat="1" applyFont="1" applyFill="1" applyProtection="1">
      <alignment vertical="center"/>
      <protection locked="0"/>
    </xf>
    <xf numFmtId="0" fontId="0" fillId="0" borderId="0" xfId="0" applyProtection="1">
      <alignment vertical="center"/>
      <protection locked="0"/>
    </xf>
    <xf numFmtId="178" fontId="28" fillId="12" borderId="11" xfId="0" applyNumberFormat="1" applyFont="1" applyFill="1" applyBorder="1" applyAlignment="1" applyProtection="1">
      <alignment horizontal="center" vertical="center"/>
      <protection locked="0"/>
    </xf>
    <xf numFmtId="176" fontId="40" fillId="2" borderId="0" xfId="0" applyNumberFormat="1" applyFont="1" applyFill="1" applyAlignment="1" applyProtection="1">
      <alignment horizontal="left" vertical="center"/>
      <protection locked="0"/>
    </xf>
    <xf numFmtId="176" fontId="34" fillId="2" borderId="0" xfId="0" applyNumberFormat="1" applyFont="1" applyFill="1" applyAlignment="1" applyProtection="1">
      <alignment horizontal="center" vertical="center"/>
      <protection locked="0"/>
    </xf>
    <xf numFmtId="176" fontId="7" fillId="8" borderId="4" xfId="0" applyNumberFormat="1" applyFont="1" applyFill="1" applyBorder="1" applyAlignment="1" applyProtection="1">
      <alignment horizontal="center" vertical="center"/>
      <protection locked="0"/>
    </xf>
    <xf numFmtId="176" fontId="7" fillId="8" borderId="6" xfId="0" applyNumberFormat="1" applyFont="1" applyFill="1" applyBorder="1" applyAlignment="1" applyProtection="1">
      <alignment horizontal="center" vertical="center"/>
      <protection locked="0"/>
    </xf>
    <xf numFmtId="176" fontId="110" fillId="2" borderId="2" xfId="0" applyNumberFormat="1" applyFont="1" applyFill="1" applyBorder="1" applyAlignment="1" applyProtection="1">
      <alignment horizontal="left" vertical="center"/>
      <protection locked="0"/>
    </xf>
    <xf numFmtId="176" fontId="110" fillId="2" borderId="0" xfId="0" applyNumberFormat="1" applyFont="1" applyFill="1" applyAlignment="1" applyProtection="1">
      <alignment horizontal="left" vertical="center"/>
      <protection locked="0"/>
    </xf>
    <xf numFmtId="176" fontId="72" fillId="0" borderId="0" xfId="0" applyNumberFormat="1" applyFont="1" applyAlignment="1" applyProtection="1">
      <alignment horizontal="center" vertical="center" wrapText="1"/>
      <protection locked="0"/>
    </xf>
    <xf numFmtId="176" fontId="39" fillId="0" borderId="0" xfId="0" applyNumberFormat="1" applyFont="1" applyAlignment="1" applyProtection="1">
      <alignment horizontal="center" vertical="center"/>
      <protection locked="0"/>
    </xf>
    <xf numFmtId="176" fontId="38" fillId="0" borderId="0" xfId="0" applyNumberFormat="1" applyFont="1" applyAlignment="1" applyProtection="1">
      <alignment horizontal="left" vertical="center"/>
      <protection locked="0"/>
    </xf>
    <xf numFmtId="176" fontId="39" fillId="2" borderId="0" xfId="0" applyNumberFormat="1" applyFont="1" applyFill="1" applyAlignment="1" applyProtection="1">
      <alignment horizontal="center" vertical="center"/>
      <protection locked="0"/>
    </xf>
    <xf numFmtId="0" fontId="2" fillId="3" borderId="0" xfId="0" applyFont="1" applyFill="1" applyAlignment="1">
      <alignment horizontal="center" vertical="center"/>
    </xf>
    <xf numFmtId="0" fontId="4" fillId="3" borderId="0" xfId="0" applyFont="1" applyFill="1" applyAlignment="1">
      <alignment horizontal="center" vertical="center"/>
    </xf>
    <xf numFmtId="0" fontId="6" fillId="3" borderId="0" xfId="0" applyFont="1" applyFill="1" applyAlignment="1">
      <alignment horizontal="center" vertical="center" wrapText="1"/>
    </xf>
    <xf numFmtId="0" fontId="25" fillId="2" borderId="0" xfId="0" applyFont="1" applyFill="1" applyProtection="1">
      <alignment vertical="center"/>
      <protection locked="0"/>
    </xf>
    <xf numFmtId="0" fontId="23" fillId="2" borderId="0" xfId="0" applyFont="1" applyFill="1" applyProtection="1">
      <alignment vertical="center"/>
      <protection locked="0"/>
    </xf>
    <xf numFmtId="0" fontId="86" fillId="2" borderId="2" xfId="2" applyFont="1" applyFill="1" applyBorder="1" applyAlignment="1" applyProtection="1">
      <alignment horizontal="center" vertical="center"/>
      <protection locked="0"/>
    </xf>
    <xf numFmtId="49" fontId="13" fillId="2" borderId="0" xfId="0" applyNumberFormat="1" applyFont="1" applyFill="1" applyAlignment="1" applyProtection="1">
      <alignment horizontal="left" vertical="center"/>
      <protection locked="0"/>
    </xf>
    <xf numFmtId="49" fontId="14" fillId="2" borderId="0" xfId="0" applyNumberFormat="1" applyFont="1" applyFill="1" applyAlignment="1" applyProtection="1">
      <alignment horizontal="center" vertical="center"/>
      <protection locked="0"/>
    </xf>
    <xf numFmtId="0" fontId="29" fillId="2" borderId="0" xfId="0" applyFont="1" applyFill="1" applyAlignment="1">
      <alignment horizontal="center" vertical="center"/>
    </xf>
    <xf numFmtId="0" fontId="15" fillId="16" borderId="2" xfId="2" applyFont="1" applyFill="1" applyBorder="1" applyAlignment="1" applyProtection="1">
      <alignment horizontal="center" vertical="center"/>
      <protection locked="0"/>
    </xf>
    <xf numFmtId="0" fontId="0" fillId="2" borderId="3" xfId="0" applyFill="1" applyBorder="1" applyAlignment="1">
      <alignment horizontal="center" vertical="center"/>
    </xf>
    <xf numFmtId="49" fontId="40" fillId="2" borderId="2" xfId="0" applyNumberFormat="1" applyFont="1" applyFill="1" applyBorder="1" applyAlignment="1" applyProtection="1">
      <alignment horizontal="center" vertical="center"/>
      <protection locked="0"/>
    </xf>
    <xf numFmtId="49" fontId="86" fillId="2" borderId="4" xfId="0" applyNumberFormat="1" applyFont="1" applyFill="1" applyBorder="1" applyAlignment="1" applyProtection="1">
      <alignment horizontal="center" vertical="center"/>
      <protection locked="0"/>
    </xf>
    <xf numFmtId="49" fontId="86" fillId="2" borderId="6" xfId="0" applyNumberFormat="1" applyFont="1" applyFill="1" applyBorder="1" applyAlignment="1" applyProtection="1">
      <alignment horizontal="center" vertical="center"/>
      <protection locked="0"/>
    </xf>
    <xf numFmtId="0" fontId="87" fillId="2" borderId="4" xfId="0" applyFont="1" applyFill="1" applyBorder="1" applyAlignment="1">
      <alignment horizontal="center" vertical="center"/>
    </xf>
    <xf numFmtId="0" fontId="87" fillId="2" borderId="6" xfId="0" applyFont="1" applyFill="1" applyBorder="1" applyAlignment="1">
      <alignment horizontal="center" vertical="center"/>
    </xf>
    <xf numFmtId="0" fontId="34" fillId="9" borderId="4" xfId="2" applyFont="1" applyFill="1" applyBorder="1" applyAlignment="1" applyProtection="1">
      <alignment horizontal="center" vertical="center"/>
      <protection locked="0"/>
    </xf>
    <xf numFmtId="0" fontId="34" fillId="9" borderId="6" xfId="2" applyFont="1" applyFill="1" applyBorder="1" applyAlignment="1" applyProtection="1">
      <alignment horizontal="center" vertical="center"/>
      <protection locked="0"/>
    </xf>
    <xf numFmtId="0" fontId="35" fillId="3" borderId="0" xfId="0" applyFont="1" applyFill="1" applyAlignment="1">
      <alignment horizontal="center" vertical="center"/>
    </xf>
    <xf numFmtId="0" fontId="36" fillId="3" borderId="0" xfId="0" applyFont="1" applyFill="1" applyAlignment="1">
      <alignment horizontal="center" vertical="center"/>
    </xf>
    <xf numFmtId="0" fontId="28" fillId="3" borderId="0" xfId="0" applyFont="1" applyFill="1" applyAlignment="1">
      <alignment horizontal="center" vertical="center" wrapText="1"/>
    </xf>
    <xf numFmtId="0" fontId="75" fillId="9" borderId="2" xfId="2" applyFont="1" applyFill="1" applyBorder="1" applyAlignment="1" applyProtection="1">
      <alignment horizontal="center" vertical="center"/>
      <protection locked="0"/>
    </xf>
    <xf numFmtId="0" fontId="34" fillId="9" borderId="2" xfId="2" applyFont="1" applyFill="1" applyBorder="1" applyAlignment="1" applyProtection="1">
      <alignment horizontal="center" vertical="center"/>
      <protection locked="0"/>
    </xf>
    <xf numFmtId="49" fontId="37" fillId="2" borderId="2" xfId="0" applyNumberFormat="1" applyFont="1" applyFill="1" applyBorder="1" applyAlignment="1" applyProtection="1">
      <alignment horizontal="center" vertical="center"/>
      <protection locked="0"/>
    </xf>
    <xf numFmtId="49" fontId="86" fillId="2" borderId="2" xfId="0" applyNumberFormat="1" applyFont="1" applyFill="1" applyBorder="1" applyAlignment="1" applyProtection="1">
      <alignment horizontal="center" vertical="center"/>
      <protection locked="0"/>
    </xf>
    <xf numFmtId="0" fontId="87" fillId="2" borderId="2" xfId="0" applyFont="1" applyFill="1" applyBorder="1" applyAlignment="1">
      <alignment horizontal="center" vertical="center"/>
    </xf>
    <xf numFmtId="177" fontId="24" fillId="2" borderId="2" xfId="2" applyNumberFormat="1" applyFont="1" applyFill="1" applyBorder="1" applyAlignment="1" applyProtection="1">
      <alignment horizontal="center" vertical="center"/>
      <protection locked="0"/>
    </xf>
    <xf numFmtId="176" fontId="22" fillId="2" borderId="2" xfId="0" applyNumberFormat="1" applyFont="1" applyFill="1" applyBorder="1" applyAlignment="1" applyProtection="1">
      <alignment horizontal="center" vertical="center"/>
      <protection locked="0"/>
    </xf>
    <xf numFmtId="176" fontId="20" fillId="2" borderId="2" xfId="0" applyNumberFormat="1" applyFont="1" applyFill="1" applyBorder="1" applyAlignment="1" applyProtection="1">
      <alignment horizontal="center" vertical="center"/>
      <protection locked="0"/>
    </xf>
    <xf numFmtId="49" fontId="22" fillId="2" borderId="0" xfId="0" applyNumberFormat="1" applyFont="1" applyFill="1" applyAlignment="1" applyProtection="1">
      <alignment horizontal="center" vertical="center"/>
      <protection locked="0"/>
    </xf>
    <xf numFmtId="0" fontId="24" fillId="2" borderId="2" xfId="2" applyFont="1" applyFill="1" applyBorder="1" applyAlignment="1" applyProtection="1">
      <alignment horizontal="center" vertical="center"/>
      <protection locked="0"/>
    </xf>
    <xf numFmtId="0" fontId="24" fillId="2" borderId="4" xfId="2" applyFont="1" applyFill="1" applyBorder="1" applyAlignment="1" applyProtection="1">
      <alignment horizontal="center" vertical="center"/>
      <protection locked="0"/>
    </xf>
    <xf numFmtId="0" fontId="24" fillId="2" borderId="6" xfId="2" applyFont="1" applyFill="1" applyBorder="1" applyAlignment="1" applyProtection="1">
      <alignment horizontal="center" vertical="center"/>
      <protection locked="0"/>
    </xf>
    <xf numFmtId="177" fontId="24" fillId="2" borderId="4" xfId="2" applyNumberFormat="1" applyFont="1" applyFill="1" applyBorder="1" applyAlignment="1" applyProtection="1">
      <alignment horizontal="center" vertical="center"/>
      <protection locked="0"/>
    </xf>
    <xf numFmtId="177" fontId="24" fillId="2" borderId="6" xfId="2" applyNumberFormat="1" applyFont="1" applyFill="1" applyBorder="1" applyAlignment="1" applyProtection="1">
      <alignment horizontal="center" vertical="center"/>
      <protection locked="0"/>
    </xf>
    <xf numFmtId="0" fontId="0" fillId="2" borderId="0" xfId="0" applyFill="1" applyAlignment="1">
      <alignment horizontal="center" vertical="center"/>
    </xf>
    <xf numFmtId="0" fontId="24" fillId="2" borderId="0" xfId="2" applyFont="1" applyFill="1" applyBorder="1" applyAlignment="1" applyProtection="1">
      <alignment horizontal="center" vertical="center"/>
      <protection locked="0"/>
    </xf>
    <xf numFmtId="0" fontId="15" fillId="2" borderId="0" xfId="2" applyFont="1" applyFill="1" applyBorder="1" applyAlignment="1" applyProtection="1">
      <alignment horizontal="center" vertical="center"/>
      <protection locked="0"/>
    </xf>
    <xf numFmtId="176" fontId="22" fillId="2" borderId="0" xfId="0" applyNumberFormat="1" applyFont="1" applyFill="1" applyAlignment="1" applyProtection="1">
      <alignment horizontal="left" vertical="top"/>
      <protection locked="0"/>
    </xf>
    <xf numFmtId="176" fontId="2" fillId="3" borderId="0" xfId="0" applyNumberFormat="1" applyFont="1" applyFill="1" applyAlignment="1">
      <alignment horizontal="center" vertical="center"/>
    </xf>
    <xf numFmtId="176" fontId="4" fillId="3" borderId="0" xfId="0" applyNumberFormat="1" applyFont="1" applyFill="1" applyAlignment="1">
      <alignment horizontal="center" vertical="center"/>
    </xf>
    <xf numFmtId="176" fontId="6" fillId="3" borderId="0" xfId="0" applyNumberFormat="1" applyFont="1" applyFill="1" applyAlignment="1">
      <alignment horizontal="center" vertical="center" wrapText="1"/>
    </xf>
    <xf numFmtId="176" fontId="12" fillId="2" borderId="0" xfId="0" applyNumberFormat="1" applyFont="1" applyFill="1" applyAlignment="1" applyProtection="1">
      <alignment horizontal="left" vertical="center"/>
      <protection locked="0"/>
    </xf>
    <xf numFmtId="176" fontId="13" fillId="2" borderId="0" xfId="0" applyNumberFormat="1" applyFont="1" applyFill="1" applyAlignment="1" applyProtection="1">
      <alignment horizontal="left" vertical="center"/>
      <protection locked="0"/>
    </xf>
    <xf numFmtId="176" fontId="14" fillId="2" borderId="0" xfId="0" applyNumberFormat="1" applyFont="1" applyFill="1" applyAlignment="1" applyProtection="1">
      <alignment horizontal="center" vertical="center"/>
      <protection locked="0"/>
    </xf>
    <xf numFmtId="176" fontId="14" fillId="2" borderId="0" xfId="0" applyNumberFormat="1" applyFont="1" applyFill="1" applyAlignment="1" applyProtection="1">
      <alignment horizontal="center" vertical="center" wrapText="1"/>
      <protection locked="0"/>
    </xf>
    <xf numFmtId="176" fontId="7" fillId="2" borderId="4" xfId="0" applyNumberFormat="1" applyFont="1" applyFill="1" applyBorder="1" applyAlignment="1" applyProtection="1">
      <alignment horizontal="center" vertical="center"/>
      <protection locked="0"/>
    </xf>
    <xf numFmtId="176" fontId="7" fillId="2" borderId="6" xfId="0" applyNumberFormat="1" applyFont="1" applyFill="1" applyBorder="1" applyAlignment="1" applyProtection="1">
      <alignment horizontal="center" vertical="center"/>
      <protection locked="0"/>
    </xf>
    <xf numFmtId="176" fontId="14" fillId="10" borderId="0" xfId="0" applyNumberFormat="1" applyFont="1" applyFill="1" applyAlignment="1" applyProtection="1">
      <alignment horizontal="left" vertical="center"/>
      <protection locked="0"/>
    </xf>
    <xf numFmtId="176" fontId="22" fillId="2" borderId="0" xfId="0" applyNumberFormat="1" applyFont="1" applyFill="1" applyAlignment="1" applyProtection="1">
      <alignment horizontal="left" vertical="center"/>
      <protection locked="0"/>
    </xf>
    <xf numFmtId="176" fontId="7" fillId="2" borderId="19" xfId="0" applyNumberFormat="1" applyFont="1" applyFill="1" applyBorder="1" applyProtection="1">
      <alignment vertical="center"/>
      <protection locked="0"/>
    </xf>
    <xf numFmtId="176" fontId="7" fillId="2" borderId="22" xfId="0" applyNumberFormat="1" applyFont="1" applyFill="1" applyBorder="1" applyProtection="1">
      <alignment vertical="center"/>
      <protection locked="0"/>
    </xf>
    <xf numFmtId="176" fontId="7" fillId="2" borderId="19" xfId="0" applyNumberFormat="1" applyFont="1" applyFill="1" applyBorder="1" applyAlignment="1" applyProtection="1">
      <alignment vertical="center" wrapText="1"/>
      <protection locked="0"/>
    </xf>
    <xf numFmtId="176" fontId="7" fillId="2" borderId="22" xfId="0" applyNumberFormat="1" applyFont="1" applyFill="1" applyBorder="1" applyAlignment="1" applyProtection="1">
      <alignment vertical="center" wrapText="1"/>
      <protection locked="0"/>
    </xf>
    <xf numFmtId="176" fontId="14" fillId="2" borderId="19" xfId="0" applyNumberFormat="1" applyFont="1" applyFill="1" applyBorder="1" applyAlignment="1" applyProtection="1">
      <alignment horizontal="center" vertical="center" wrapText="1"/>
      <protection locked="0"/>
    </xf>
    <xf numFmtId="176" fontId="14" fillId="2" borderId="22" xfId="0" applyNumberFormat="1" applyFont="1" applyFill="1" applyBorder="1" applyAlignment="1" applyProtection="1">
      <alignment horizontal="center" vertical="center" wrapText="1"/>
      <protection locked="0"/>
    </xf>
    <xf numFmtId="176" fontId="22" fillId="2" borderId="7" xfId="0" applyNumberFormat="1" applyFont="1" applyFill="1" applyBorder="1" applyAlignment="1" applyProtection="1">
      <alignment horizontal="left" vertical="center"/>
      <protection locked="0"/>
    </xf>
    <xf numFmtId="176" fontId="0" fillId="12" borderId="11" xfId="0" applyNumberFormat="1" applyFill="1" applyBorder="1" applyAlignment="1" applyProtection="1">
      <alignment horizontal="center" vertical="center"/>
      <protection locked="0"/>
    </xf>
    <xf numFmtId="176" fontId="59" fillId="2" borderId="0" xfId="0" applyNumberFormat="1" applyFont="1" applyFill="1" applyAlignment="1" applyProtection="1">
      <alignment horizontal="left" vertical="center"/>
      <protection locked="0"/>
    </xf>
    <xf numFmtId="0" fontId="5" fillId="3" borderId="0" xfId="0" applyFont="1" applyFill="1" applyAlignment="1">
      <alignment horizontal="center" vertical="center"/>
    </xf>
  </cellXfs>
  <cellStyles count="6">
    <cellStyle name="常规" xfId="0" builtinId="0"/>
    <cellStyle name="适中" xfId="1" builtinId="28"/>
    <cellStyle name="输入" xfId="2" builtinId="20"/>
    <cellStyle name="着色 2" xfId="3" builtinId="33"/>
    <cellStyle name="着色 5" xfId="5" builtinId="45"/>
    <cellStyle name="着色 6" xfId="4" builtinId="49"/>
  </cellStyles>
  <dxfs count="2">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1"/>
      <tableStyleElement type="headerRow" dxfId="0"/>
    </tableStyle>
  </tableStyles>
  <colors>
    <mruColors>
      <color rgb="FFF3D9D9"/>
      <color rgb="FF00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6">
    <xsd:schema xmlns:xsd="http://www.w3.org/2001/XMLSchema" xmlns="">
      <xsd:element nillable="true" name="IDBmodelinfo">
        <xsd:complexType>
          <xsd:sequence minOccurs="0">
            <xsd:element minOccurs="0" nillable="true" name="Lake" form="unqualified">
              <xsd:complexType>
                <xsd:sequence minOccurs="0">
                  <xsd:element minOccurs="0" nillable="true" type="xsd:integer" name="Z0" form="unqualified"/>
                  <xsd:element minOccurs="0" nillable="true" type="xsd:double" name="Qin" form="unqualified"/>
                  <xsd:element minOccurs="0" nillable="true" type="xsd:integer" name="Hr" form="unqualified"/>
                  <xsd:element minOccurs="0" nillable="true" type="xsd:integer" name="p1" form="unqualified"/>
                  <xsd:element minOccurs="0" nillable="true" type="xsd:double" name="p2" form="unqualified"/>
                  <xsd:element minOccurs="0" nillable="true" type="xsd:integer" name="p3" form="unqualified"/>
                  <xsd:element minOccurs="0" nillable="true" type="xsd:integer" name="h0" form="unqualified"/>
                  <xsd:element minOccurs="0" nillable="true" type="xsd:double" name="b0" form="unqualified"/>
                </xsd:sequence>
              </xsd:complexType>
            </xsd:element>
            <xsd:element minOccurs="0" nillable="true" name="Erosion" form="unqualified">
              <xsd:complexType>
                <xsd:sequence minOccurs="0">
                  <xsd:element minOccurs="0" nillable="true" type="xsd:integer" name="vc" form="unqualified"/>
                  <xsd:element minOccurs="0" nillable="true" type="xsd:double" name="a" form="unqualified"/>
                  <xsd:element minOccurs="0" nillable="true" type="xsd:integer" name="b" form="unqualified"/>
                  <xsd:element minOccurs="0" nillable="true" type="xsd:integer" name="tc" form="unqualified"/>
                  <xsd:element minOccurs="0" nillable="true" type="xsd:double" name="mq" form="unqualified"/>
                  <xsd:element minOccurs="0" nillable="true" type="xsd:integer" name="mb" form="unqualified"/>
                  <xsd:element minOccurs="0" nillable="true" type="xsd:integer" name="m" form="unqualified"/>
                </xsd:sequence>
              </xsd:complexType>
            </xsd:element>
            <xsd:element minOccurs="0" nillable="true" name="Enlarge" form="unqualified">
              <xsd:complexType>
                <xsd:sequence minOccurs="0">
                  <xsd:element minOccurs="0" nillable="true" type="xsd:integer" name="Coh" form="unqualified"/>
                  <xsd:element minOccurs="0" nillable="true" type="xsd:double" name="fai" form="unqualified"/>
                  <xsd:element minOccurs="0" nillable="true" type="xsd:integer" name="gamma" form="unqualified"/>
                  <xsd:element minOccurs="0" nillable="true" type="xsd:integer" name="beta1" form="unqualified"/>
                  <xsd:element minOccurs="0" nillable="true" type="xsd:double" name="m1" form="unqualified"/>
                  <xsd:element minOccurs="0" nillable="true" type="xsd:integer" name="m2" form="unqualified"/>
                  <xsd:element minOccurs="0" nillable="true" type="xsd:integer" name="d50" form="unqualified"/>
                  <xsd:element minOccurs="0" nillable="true" type="xsd:integer" name="density" form="unqualified"/>
                  <xsd:element minOccurs="0" nillable="true" type="xsd:integer" name="voidratio" form="unqualified"/>
                  <xsd:element minOccurs="0" nillable="true" type="xsd:integer" name="Gs" form="unqualified"/>
                  <xsd:element minOccurs="0" nillable="true" type="xsd:double" name="Len" form="unqualified"/>
                  <xsd:element minOccurs="0" nillable="true" type="xsd:integer" name="roughness" form="unqualified"/>
                </xsd:sequence>
              </xsd:complexType>
            </xsd:element>
          </xsd:sequence>
        </xsd:complexType>
      </xsd:element>
    </xsd:schema>
  </Schema>
  <Map ID="6" Name="IDBmodelinfo_映射" RootElement="IDBmodelinfo" SchemaID="Schema6" ShowImportExportValidationErrors="false" AutoFit="true" Append="false" PreserveSortAFLayout="true" PreserveFormat="true">
    <DataBinding FileBinding="true" ConnectionID="3"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2.xml.rels><?xml version="1.0" encoding="UTF-8" standalone="yes"?>
<Relationships xmlns="http://schemas.openxmlformats.org/package/2006/relationships"><Relationship Id="rId1" Type="http://schemas.openxmlformats.org/officeDocument/2006/relationships/chartUserShapes" Target="../drawings/drawing4.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6.xml"/></Relationships>
</file>

<file path=xl/charts/_rels/chart5.xml.rels><?xml version="1.0" encoding="UTF-8" standalone="yes"?>
<Relationships xmlns="http://schemas.openxmlformats.org/package/2006/relationships"><Relationship Id="rId1" Type="http://schemas.openxmlformats.org/officeDocument/2006/relationships/chartUserShapes" Target="../drawings/drawing9.xml"/></Relationships>
</file>

<file path=xl/charts/_rels/chart6.xml.rels><?xml version="1.0" encoding="UTF-8" standalone="yes"?>
<Relationships xmlns="http://schemas.openxmlformats.org/package/2006/relationships"><Relationship Id="rId1" Type="http://schemas.openxmlformats.org/officeDocument/2006/relationships/chartUserShapes" Target="../drawings/drawing10.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12.xml"/></Relationships>
</file>

<file path=xl/charts/_rels/chart8.xml.rels><?xml version="1.0" encoding="UTF-8" standalone="yes"?>
<Relationships xmlns="http://schemas.openxmlformats.org/package/2006/relationships"><Relationship Id="rId1" Type="http://schemas.openxmlformats.org/officeDocument/2006/relationships/chartUserShapes" Target="../drawings/drawing13.xml"/></Relationships>
</file>

<file path=xl/charts/_rels/chart10.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3758787992010788"/>
          <c:y val="0.13268017202446097"/>
          <c:w val="0.82077976340064174"/>
          <c:h val="0.69318981686799963"/>
        </c:manualLayout>
      </c:layout>
      <c:scatterChart>
        <c:scatterStyle val="smoothMarker"/>
        <c:varyColors val="0"/>
        <c:ser>
          <c:idx val="0"/>
          <c:order val="0"/>
          <c:tx>
            <c:v>h-t</c:v>
          </c:tx>
          <c:spPr>
            <a:ln>
              <a:solidFill>
                <a:srgbClr val="0070C0"/>
              </a:solidFill>
            </a:ln>
          </c:spPr>
          <c:marker>
            <c:spPr>
              <a:ln>
                <a:solidFill>
                  <a:srgbClr val="0070C0"/>
                </a:solidFill>
              </a:ln>
            </c:spPr>
          </c:marker>
          <c:xVal>
            <c:numRef>
              <c:f>Calculation!$AJ$61:$AJ$209</c:f>
              <c:numCache>
                <c:formatCode>0.000_ </c:formatCode>
                <c:ptCount val="149"/>
                <c:pt idx="0">
                  <c:v>8.0997122011159314E-2</c:v>
                </c:pt>
                <c:pt idx="1">
                  <c:v>8.6794759498639767E-2</c:v>
                </c:pt>
                <c:pt idx="2">
                  <c:v>9.2832478077711278E-2</c:v>
                </c:pt>
                <c:pt idx="3">
                  <c:v>9.9002434704242373E-2</c:v>
                </c:pt>
                <c:pt idx="4">
                  <c:v>0.10530550589723095</c:v>
                </c:pt>
                <c:pt idx="5">
                  <c:v>0.11174275691334166</c:v>
                </c:pt>
                <c:pt idx="6">
                  <c:v>0.1183153349419777</c:v>
                </c:pt>
                <c:pt idx="7">
                  <c:v>0.12502447390204752</c:v>
                </c:pt>
                <c:pt idx="8">
                  <c:v>0.13187149984239316</c:v>
                </c:pt>
                <c:pt idx="9">
                  <c:v>0.13885783685327152</c:v>
                </c:pt>
                <c:pt idx="10">
                  <c:v>0.14598501351750232</c:v>
                </c:pt>
                <c:pt idx="11">
                  <c:v>0.15325466993526332</c:v>
                </c:pt>
                <c:pt idx="12">
                  <c:v>0.16066856536225804</c:v>
                </c:pt>
                <c:pt idx="13">
                  <c:v>0.16822858650731612</c:v>
                </c:pt>
                <c:pt idx="14">
                  <c:v>0.17593675654253993</c:v>
                </c:pt>
                <c:pt idx="15">
                  <c:v>0.18379524488701685</c:v>
                </c:pt>
                <c:pt idx="16">
                  <c:v>0.1918063778340271</c:v>
                </c:pt>
                <c:pt idx="17">
                  <c:v>0.19997265010176929</c:v>
                </c:pt>
                <c:pt idx="18">
                  <c:v>0.20829673739912122</c:v>
                </c:pt>
                <c:pt idx="19">
                  <c:v>0.21678151011109134</c:v>
                </c:pt>
                <c:pt idx="20">
                  <c:v>0.22543004822368765</c:v>
                </c:pt>
                <c:pt idx="21">
                  <c:v>0.23424565762530306</c:v>
                </c:pt>
                <c:pt idx="22">
                  <c:v>0.2432318879417921</c:v>
                </c:pt>
                <c:pt idx="23">
                  <c:v>0.25239255208571071</c:v>
                </c:pt>
                <c:pt idx="24">
                  <c:v>0.26173174772731633</c:v>
                </c:pt>
                <c:pt idx="25">
                  <c:v>0.27125388092662583</c:v>
                </c:pt>
                <c:pt idx="26">
                  <c:v>0.2809636922030192</c:v>
                </c:pt>
                <c:pt idx="27">
                  <c:v>0.29086628536263737</c:v>
                </c:pt>
                <c:pt idx="28">
                  <c:v>0.30096715945558544</c:v>
                </c:pt>
                <c:pt idx="29">
                  <c:v>0.31127224429632933</c:v>
                </c:pt>
                <c:pt idx="30">
                  <c:v>0.3217879400538371</c:v>
                </c:pt>
                <c:pt idx="31">
                  <c:v>0.3325211615055722</c:v>
                </c:pt>
                <c:pt idx="32">
                  <c:v>0.3434793876546689</c:v>
                </c:pt>
                <c:pt idx="33">
                  <c:v>0.35467071753673496</c:v>
                </c:pt>
                <c:pt idx="34">
                  <c:v>0.36610393319696244</c:v>
                </c:pt>
                <c:pt idx="35">
                  <c:v>0.37778857100643182</c:v>
                </c:pt>
                <c:pt idx="36">
                  <c:v>0.38973500271728839</c:v>
                </c:pt>
                <c:pt idx="37">
                  <c:v>0.40195452794119629</c:v>
                </c:pt>
                <c:pt idx="38">
                  <c:v>0.41445948008881356</c:v>
                </c:pt>
                <c:pt idx="39">
                  <c:v>0.42726334824930906</c:v>
                </c:pt>
                <c:pt idx="40">
                  <c:v>0.44038091804378326</c:v>
                </c:pt>
                <c:pt idx="41">
                  <c:v>0.45382843518907678</c:v>
                </c:pt>
                <c:pt idx="42">
                  <c:v>0.46762379640500901</c:v>
                </c:pt>
                <c:pt idx="43">
                  <c:v>0.48178677345142196</c:v>
                </c:pt>
                <c:pt idx="44">
                  <c:v>0.49633927757792196</c:v>
                </c:pt>
                <c:pt idx="45">
                  <c:v>0.51130567362918222</c:v>
                </c:pt>
                <c:pt idx="46">
                  <c:v>0.526713155641232</c:v>
                </c:pt>
                <c:pt idx="47">
                  <c:v>0.54259219923050572</c:v>
                </c:pt>
                <c:pt idx="48">
                  <c:v>0.5589771107659931</c:v>
                </c:pt>
                <c:pt idx="49">
                  <c:v>0.57590669973667863</c:v>
                </c:pt>
                <c:pt idx="50">
                  <c:v>0.59342510964305695</c:v>
                </c:pt>
                <c:pt idx="51">
                  <c:v>0.61158285530775669</c:v>
                </c:pt>
                <c:pt idx="52">
                  <c:v>0.63043813250110581</c:v>
                </c:pt>
                <c:pt idx="53">
                  <c:v>0.65005849203015509</c:v>
                </c:pt>
                <c:pt idx="54">
                  <c:v>0.67052300949483201</c:v>
                </c:pt>
                <c:pt idx="55">
                  <c:v>0.69192514131290805</c:v>
                </c:pt>
                <c:pt idx="56">
                  <c:v>0.7143765502128131</c:v>
                </c:pt>
                <c:pt idx="57">
                  <c:v>0.73801233182278803</c:v>
                </c:pt>
                <c:pt idx="58">
                  <c:v>0.76299831955851449</c:v>
                </c:pt>
                <c:pt idx="59">
                  <c:v>0.78954156631446548</c:v>
                </c:pt>
                <c:pt idx="60">
                  <c:v>0.81790585526815729</c:v>
                </c:pt>
                <c:pt idx="61">
                  <c:v>0.84843550899644793</c:v>
                </c:pt>
                <c:pt idx="62">
                  <c:v>0.87324813165723314</c:v>
                </c:pt>
                <c:pt idx="63">
                  <c:v>0.89984287702331522</c:v>
                </c:pt>
                <c:pt idx="64">
                  <c:v>0.92857801937545881</c:v>
                </c:pt>
                <c:pt idx="65">
                  <c:v>0.94946785895057506</c:v>
                </c:pt>
                <c:pt idx="66">
                  <c:v>0.97178896072124765</c:v>
                </c:pt>
                <c:pt idx="67">
                  <c:v>0.99580898524285433</c:v>
                </c:pt>
                <c:pt idx="68">
                  <c:v>1.0219006914022599</c:v>
                </c:pt>
                <c:pt idx="69">
                  <c:v>1.0505898331882622</c:v>
                </c:pt>
                <c:pt idx="70">
                  <c:v>1.0667225866520247</c:v>
                </c:pt>
                <c:pt idx="71">
                  <c:v>1.0839918497268184</c:v>
                </c:pt>
                <c:pt idx="72">
                  <c:v>1.1025718489988945</c:v>
                </c:pt>
                <c:pt idx="73">
                  <c:v>1.1227581728902591</c:v>
                </c:pt>
                <c:pt idx="74">
                  <c:v>1.1449718783342413</c:v>
                </c:pt>
                <c:pt idx="75">
                  <c:v>1.1698482087068505</c:v>
                </c:pt>
                <c:pt idx="76">
                  <c:v>1.1984228825630086</c:v>
                </c:pt>
                <c:pt idx="77">
                  <c:v>1.2325884041312065</c:v>
                </c:pt>
                <c:pt idx="78">
                  <c:v>1.2765048436526791</c:v>
                </c:pt>
                <c:pt idx="79">
                  <c:v>1.3101513464035612</c:v>
                </c:pt>
                <c:pt idx="80">
                  <c:v>1.3662395249038011</c:v>
                </c:pt>
                <c:pt idx="81">
                  <c:v>1.4276411813826544</c:v>
                </c:pt>
                <c:pt idx="82">
                  <c:v>1.4542066677975676</c:v>
                </c:pt>
                <c:pt idx="83">
                  <c:v>1.4699675143272795</c:v>
                </c:pt>
                <c:pt idx="84">
                  <c:v>1.4830961458158376</c:v>
                </c:pt>
                <c:pt idx="85">
                  <c:v>1.5388088465529057</c:v>
                </c:pt>
                <c:pt idx="86">
                  <c:v>1.5839064074148739</c:v>
                </c:pt>
                <c:pt idx="87">
                  <c:v>1.6191019646248186</c:v>
                </c:pt>
                <c:pt idx="88">
                  <c:v>1.6493756620471325</c:v>
                </c:pt>
                <c:pt idx="89">
                  <c:v>1.6767626082899545</c:v>
                </c:pt>
                <c:pt idx="90">
                  <c:v>1.7021558402934942</c:v>
                </c:pt>
                <c:pt idx="91">
                  <c:v>1.726047356782149</c:v>
                </c:pt>
                <c:pt idx="92">
                  <c:v>1.7487501661563387</c:v>
                </c:pt>
                <c:pt idx="93">
                  <c:v>1.7704804939704857</c:v>
                </c:pt>
                <c:pt idx="94">
                  <c:v>1.7913959427837762</c:v>
                </c:pt>
                <c:pt idx="95">
                  <c:v>1.8116159285062368</c:v>
                </c:pt>
                <c:pt idx="96">
                  <c:v>1.8312336640501954</c:v>
                </c:pt>
                <c:pt idx="97">
                  <c:v>1.8503236519791126</c:v>
                </c:pt>
                <c:pt idx="98">
                  <c:v>1.8689466040664455</c:v>
                </c:pt>
                <c:pt idx="99">
                  <c:v>1.8871527997870534</c:v>
                </c:pt>
                <c:pt idx="100">
                  <c:v>1.9049844535678246</c:v>
                </c:pt>
                <c:pt idx="101">
                  <c:v>1.9224774286339688</c:v>
                </c:pt>
                <c:pt idx="102">
                  <c:v>1.939662506416292</c:v>
                </c:pt>
                <c:pt idx="103">
                  <c:v>1.9565663454555675</c:v>
                </c:pt>
                <c:pt idx="104">
                  <c:v>1.973212218299796</c:v>
                </c:pt>
                <c:pt idx="105">
                  <c:v>1.9896205864255034</c:v>
                </c:pt>
                <c:pt idx="106">
                  <c:v>2.0058095548539643</c:v>
                </c:pt>
                <c:pt idx="107">
                  <c:v>2.0217952359833617</c:v>
                </c:pt>
                <c:pt idx="108">
                  <c:v>2.0375920439329684</c:v>
                </c:pt>
                <c:pt idx="109">
                  <c:v>2.0532129350138644</c:v>
                </c:pt>
                <c:pt idx="110">
                  <c:v>2.068669605944252</c:v>
                </c:pt>
                <c:pt idx="111">
                  <c:v>2.0839726585695018</c:v>
                </c:pt>
                <c:pt idx="112">
                  <c:v>2.0991317377729253</c:v>
                </c:pt>
                <c:pt idx="113">
                  <c:v>2.1141556477371615</c:v>
                </c:pt>
                <c:pt idx="114">
                  <c:v>2.1290524505792177</c:v>
                </c:pt>
                <c:pt idx="115">
                  <c:v>2.143829550525516</c:v>
                </c:pt>
                <c:pt idx="116">
                  <c:v>2.1584937661407957</c:v>
                </c:pt>
                <c:pt idx="117">
                  <c:v>2.173051392623095</c:v>
                </c:pt>
                <c:pt idx="118">
                  <c:v>2.1875082557874412</c:v>
                </c:pt>
                <c:pt idx="119">
                  <c:v>2.2018697590561662</c:v>
                </c:pt>
                <c:pt idx="120">
                  <c:v>2.2161409245332382</c:v>
                </c:pt>
                <c:pt idx="121">
                  <c:v>2.2303264290488283</c:v>
                </c:pt>
                <c:pt idx="122">
                  <c:v>2.2444306359073845</c:v>
                </c:pt>
                <c:pt idx="123">
                  <c:v>2.2584576229491486</c:v>
                </c:pt>
                <c:pt idx="124">
                  <c:v>2.2724112074352161</c:v>
                </c:pt>
                <c:pt idx="125">
                  <c:v>2.2862949681847011</c:v>
                </c:pt>
                <c:pt idx="126">
                  <c:v>2.3001122653258061</c:v>
                </c:pt>
                <c:pt idx="127">
                  <c:v>2.3138662579675402</c:v>
                </c:pt>
                <c:pt idx="128">
                  <c:v>2.327559920053226</c:v>
                </c:pt>
                <c:pt idx="129">
                  <c:v>2.3411960546190151</c:v>
                </c:pt>
                <c:pt idx="130">
                  <c:v>2.3547773066489133</c:v>
                </c:pt>
                <c:pt idx="131">
                  <c:v>2.3683061746911913</c:v>
                </c:pt>
                <c:pt idx="132">
                  <c:v>2.3817850213786356</c:v>
                </c:pt>
                <c:pt idx="133">
                  <c:v>2.3952160829760896</c:v>
                </c:pt>
                <c:pt idx="134">
                  <c:v>2.4086014780626877</c:v>
                </c:pt>
                <c:pt idx="135">
                  <c:v>2.4219432154423539</c:v>
                </c:pt>
                <c:pt idx="136">
                  <c:v>2.4352432013644436</c:v>
                </c:pt>
                <c:pt idx="137">
                  <c:v>2.4485032461263696</c:v>
                </c:pt>
                <c:pt idx="138">
                  <c:v>2.4617250701213025</c:v>
                </c:pt>
                <c:pt idx="139">
                  <c:v>2.4749103093865896</c:v>
                </c:pt>
                <c:pt idx="140">
                  <c:v>2.4880605207021391</c:v>
                </c:pt>
                <c:pt idx="141">
                  <c:v>2.5011771862822267</c:v>
                </c:pt>
                <c:pt idx="142">
                  <c:v>2.514261718099462</c:v>
                </c:pt>
                <c:pt idx="143">
                  <c:v>2.5273154618752702</c:v>
                </c:pt>
                <c:pt idx="144">
                  <c:v>2.5403397007676065</c:v>
                </c:pt>
                <c:pt idx="145">
                  <c:v>2.5533356587832299</c:v>
                </c:pt>
                <c:pt idx="146">
                  <c:v>2.5663045039391115</c:v>
                </c:pt>
                <c:pt idx="147">
                  <c:v>2.5792473511949465</c:v>
                </c:pt>
                <c:pt idx="148">
                  <c:v>2.5921652651765399</c:v>
                </c:pt>
              </c:numCache>
            </c:numRef>
          </c:xVal>
          <c:yVal>
            <c:numRef>
              <c:f>Calculation!$B$61:$B$209</c:f>
              <c:numCache>
                <c:formatCode>0.000_ </c:formatCode>
                <c:ptCount val="149"/>
                <c:pt idx="0">
                  <c:v>1498.22</c:v>
                </c:pt>
                <c:pt idx="1">
                  <c:v>1498.9673761284944</c:v>
                </c:pt>
                <c:pt idx="2">
                  <c:v>1499.0204597333898</c:v>
                </c:pt>
                <c:pt idx="3">
                  <c:v>1499.0738088409767</c:v>
                </c:pt>
                <c:pt idx="4">
                  <c:v>1499.1281268843654</c:v>
                </c:pt>
                <c:pt idx="5">
                  <c:v>1499.1834059620132</c:v>
                </c:pt>
                <c:pt idx="6">
                  <c:v>1499.2396369490928</c:v>
                </c:pt>
                <c:pt idx="7">
                  <c:v>1499.2968101802808</c:v>
                </c:pt>
                <c:pt idx="8">
                  <c:v>1499.3549153958213</c:v>
                </c:pt>
                <c:pt idx="9">
                  <c:v>1499.4139416839812</c:v>
                </c:pt>
                <c:pt idx="10">
                  <c:v>1499.4738774203206</c:v>
                </c:pt>
                <c:pt idx="11">
                  <c:v>1499.5347102033961</c:v>
                </c:pt>
                <c:pt idx="12">
                  <c:v>1499.5964267864899</c:v>
                </c:pt>
                <c:pt idx="13">
                  <c:v>1499.6590130049244</c:v>
                </c:pt>
                <c:pt idx="14">
                  <c:v>1499.7224536984772</c:v>
                </c:pt>
                <c:pt idx="15">
                  <c:v>1499.7867326283683</c:v>
                </c:pt>
                <c:pt idx="16">
                  <c:v>1499.8518323882288</c:v>
                </c:pt>
                <c:pt idx="17">
                  <c:v>1499.9177343083973</c:v>
                </c:pt>
                <c:pt idx="18">
                  <c:v>1499.9844183528103</c:v>
                </c:pt>
                <c:pt idx="19">
                  <c:v>1500.0518630076624</c:v>
                </c:pt>
                <c:pt idx="20">
                  <c:v>1500.1200451609077</c:v>
                </c:pt>
                <c:pt idx="21">
                  <c:v>1500.1889399715492</c:v>
                </c:pt>
                <c:pt idx="22">
                  <c:v>1500.2585207275229</c:v>
                </c:pt>
                <c:pt idx="23">
                  <c:v>1500.3287586908143</c:v>
                </c:pt>
                <c:pt idx="24">
                  <c:v>1500.3996229282541</c:v>
                </c:pt>
                <c:pt idx="25">
                  <c:v>1500.4710801262099</c:v>
                </c:pt>
                <c:pt idx="26">
                  <c:v>1500.5430943871297</c:v>
                </c:pt>
                <c:pt idx="27">
                  <c:v>1500.6156270055731</c:v>
                </c:pt>
                <c:pt idx="28">
                  <c:v>1500.688636221005</c:v>
                </c:pt>
                <c:pt idx="29">
                  <c:v>1500.7620769441871</c:v>
                </c:pt>
                <c:pt idx="30">
                  <c:v>1500.83590045348</c:v>
                </c:pt>
                <c:pt idx="31">
                  <c:v>1500.9100540567586</c:v>
                </c:pt>
                <c:pt idx="32">
                  <c:v>1500.9844807138979</c:v>
                </c:pt>
                <c:pt idx="33">
                  <c:v>1501.0591186138963</c:v>
                </c:pt>
                <c:pt idx="34">
                  <c:v>1501.1339006996295</c:v>
                </c:pt>
                <c:pt idx="35">
                  <c:v>1501.2087541319249</c:v>
                </c:pt>
                <c:pt idx="36">
                  <c:v>1501.2835996830493</c:v>
                </c:pt>
                <c:pt idx="37">
                  <c:v>1501.3583510477515</c:v>
                </c:pt>
                <c:pt idx="38">
                  <c:v>1501.4329140575949</c:v>
                </c:pt>
                <c:pt idx="39">
                  <c:v>1501.5071857813164</c:v>
                </c:pt>
                <c:pt idx="40">
                  <c:v>1501.5810534902232</c:v>
                </c:pt>
                <c:pt idx="41">
                  <c:v>1501.6543934629349</c:v>
                </c:pt>
                <c:pt idx="42">
                  <c:v>1501.7270695978368</c:v>
                </c:pt>
                <c:pt idx="43">
                  <c:v>1501.798931794023</c:v>
                </c:pt>
                <c:pt idx="44">
                  <c:v>1501.8698140517438</c:v>
                </c:pt>
                <c:pt idx="45">
                  <c:v>1501.9395322307157</c:v>
                </c:pt>
                <c:pt idx="46">
                  <c:v>1502.0078813880646</c:v>
                </c:pt>
                <c:pt idx="47">
                  <c:v>1502.0746325957373</c:v>
                </c:pt>
                <c:pt idx="48">
                  <c:v>1502.1395291078966</c:v>
                </c:pt>
                <c:pt idx="49">
                  <c:v>1502.2022817091454</c:v>
                </c:pt>
                <c:pt idx="50">
                  <c:v>1502.2625630201103</c:v>
                </c:pt>
                <c:pt idx="51">
                  <c:v>1502.3200004614907</c:v>
                </c:pt>
                <c:pt idx="52">
                  <c:v>1502.3741674713986</c:v>
                </c:pt>
                <c:pt idx="53">
                  <c:v>1502.4245724185789</c:v>
                </c:pt>
                <c:pt idx="54">
                  <c:v>1502.470644432088</c:v>
                </c:pt>
                <c:pt idx="55">
                  <c:v>1502.5117150377528</c:v>
                </c:pt>
                <c:pt idx="56">
                  <c:v>1502.546993989494</c:v>
                </c:pt>
                <c:pt idx="57">
                  <c:v>1502.575536900682</c:v>
                </c:pt>
                <c:pt idx="58">
                  <c:v>1502.5962010258067</c:v>
                </c:pt>
                <c:pt idx="59">
                  <c:v>1502.607583466686</c:v>
                </c:pt>
                <c:pt idx="60">
                  <c:v>1502.607932516011</c:v>
                </c:pt>
                <c:pt idx="61">
                  <c:v>1502.5950164792448</c:v>
                </c:pt>
                <c:pt idx="62">
                  <c:v>1502.5659223399098</c:v>
                </c:pt>
                <c:pt idx="63">
                  <c:v>1502.5299432157065</c:v>
                </c:pt>
                <c:pt idx="64">
                  <c:v>1502.4801063593859</c:v>
                </c:pt>
                <c:pt idx="65">
                  <c:v>1502.4133822085262</c:v>
                </c:pt>
                <c:pt idx="66">
                  <c:v>1502.3557125342286</c:v>
                </c:pt>
                <c:pt idx="67">
                  <c:v>1502.2864927838916</c:v>
                </c:pt>
                <c:pt idx="68">
                  <c:v>1502.20346060062</c:v>
                </c:pt>
                <c:pt idx="69">
                  <c:v>1502.103466375346</c:v>
                </c:pt>
                <c:pt idx="70">
                  <c:v>1501.9820682784821</c:v>
                </c:pt>
                <c:pt idx="71">
                  <c:v>1501.9076110428932</c:v>
                </c:pt>
                <c:pt idx="72">
                  <c:v>1501.8236995758141</c:v>
                </c:pt>
                <c:pt idx="73">
                  <c:v>1501.7288613944258</c:v>
                </c:pt>
                <c:pt idx="74">
                  <c:v>1501.6206010379492</c:v>
                </c:pt>
                <c:pt idx="75">
                  <c:v>1501.4953640467659</c:v>
                </c:pt>
                <c:pt idx="76">
                  <c:v>1501.3477882554912</c:v>
                </c:pt>
                <c:pt idx="77">
                  <c:v>1501.1691316982476</c:v>
                </c:pt>
                <c:pt idx="78">
                  <c:v>1500.9434219102009</c:v>
                </c:pt>
                <c:pt idx="79">
                  <c:v>1500.6355510091307</c:v>
                </c:pt>
                <c:pt idx="80">
                  <c:v>1500.384192874998</c:v>
                </c:pt>
                <c:pt idx="81">
                  <c:v>1499.9435347053272</c:v>
                </c:pt>
                <c:pt idx="82">
                  <c:v>1499.4429255902555</c:v>
                </c:pt>
                <c:pt idx="83">
                  <c:v>1499.2059707925373</c:v>
                </c:pt>
                <c:pt idx="84">
                  <c:v>1499.0601738383175</c:v>
                </c:pt>
                <c:pt idx="85">
                  <c:v>1498.9365925663737</c:v>
                </c:pt>
                <c:pt idx="86">
                  <c:v>1498.4087129296063</c:v>
                </c:pt>
                <c:pt idx="87">
                  <c:v>1497.9705886153824</c:v>
                </c:pt>
                <c:pt idx="88">
                  <c:v>1497.61615260907</c:v>
                </c:pt>
                <c:pt idx="89">
                  <c:v>1497.3033984673482</c:v>
                </c:pt>
                <c:pt idx="90">
                  <c:v>1497.0151614068161</c:v>
                </c:pt>
                <c:pt idx="91">
                  <c:v>1496.743907847725</c:v>
                </c:pt>
                <c:pt idx="92">
                  <c:v>1496.4854865650786</c:v>
                </c:pt>
                <c:pt idx="93">
                  <c:v>1496.237256211426</c:v>
                </c:pt>
                <c:pt idx="94">
                  <c:v>1495.9973919727888</c:v>
                </c:pt>
                <c:pt idx="95">
                  <c:v>1495.7645636806085</c:v>
                </c:pt>
                <c:pt idx="96">
                  <c:v>1495.5377634078434</c:v>
                </c:pt>
                <c:pt idx="97">
                  <c:v>1495.3162043644545</c:v>
                </c:pt>
                <c:pt idx="98">
                  <c:v>1495.0992576780518</c:v>
                </c:pt>
                <c:pt idx="99">
                  <c:v>1494.8864108820958</c:v>
                </c:pt>
                <c:pt idx="100">
                  <c:v>1494.6772395746791</c:v>
                </c:pt>
                <c:pt idx="101">
                  <c:v>1494.471387440801</c:v>
                </c:pt>
                <c:pt idx="102">
                  <c:v>1494.2685517879765</c:v>
                </c:pt>
                <c:pt idx="103">
                  <c:v>1494.0684728321592</c:v>
                </c:pt>
                <c:pt idx="104">
                  <c:v>1493.8709256039122</c:v>
                </c:pt>
                <c:pt idx="105">
                  <c:v>1493.6757137281297</c:v>
                </c:pt>
                <c:pt idx="106">
                  <c:v>1493.4826645707612</c:v>
                </c:pt>
                <c:pt idx="107">
                  <c:v>1493.2916254009017</c:v>
                </c:pt>
                <c:pt idx="108">
                  <c:v>1493.1024603191272</c:v>
                </c:pt>
                <c:pt idx="109">
                  <c:v>1492.9150477723563</c:v>
                </c:pt>
                <c:pt idx="110">
                  <c:v>1492.7292785234604</c:v>
                </c:pt>
                <c:pt idx="111">
                  <c:v>1492.5450539775672</c:v>
                </c:pt>
                <c:pt idx="112">
                  <c:v>1492.3622847911249</c:v>
                </c:pt>
                <c:pt idx="113">
                  <c:v>1492.1808897072906</c:v>
                </c:pt>
                <c:pt idx="114">
                  <c:v>1492.000794574094</c:v>
                </c:pt>
                <c:pt idx="115">
                  <c:v>1491.8219315114152</c:v>
                </c:pt>
                <c:pt idx="116">
                  <c:v>1491.6442382000496</c:v>
                </c:pt>
                <c:pt idx="117">
                  <c:v>1491.4676572716394</c:v>
                </c:pt>
                <c:pt idx="118">
                  <c:v>1491.2921357824839</c:v>
                </c:pt>
                <c:pt idx="119">
                  <c:v>1491.1176247575313</c:v>
                </c:pt>
                <c:pt idx="120">
                  <c:v>1490.9440787934241</c:v>
                </c:pt>
                <c:pt idx="121">
                  <c:v>1490.7714557115034</c:v>
                </c:pt>
                <c:pt idx="122">
                  <c:v>1490.5997162532894</c:v>
                </c:pt>
                <c:pt idx="123">
                  <c:v>1490.4288238122463</c:v>
                </c:pt>
                <c:pt idx="124">
                  <c:v>1490.2587441966816</c:v>
                </c:pt>
                <c:pt idx="125">
                  <c:v>1490.0894454194743</c:v>
                </c:pt>
                <c:pt idx="126">
                  <c:v>1489.9208975110105</c:v>
                </c:pt>
                <c:pt idx="127">
                  <c:v>1489.7530723522736</c:v>
                </c:pt>
                <c:pt idx="128">
                  <c:v>1489.5859435254972</c:v>
                </c:pt>
                <c:pt idx="129">
                  <c:v>1489.4194861801761</c:v>
                </c:pt>
                <c:pt idx="130">
                  <c:v>1489.2536769125506</c:v>
                </c:pt>
                <c:pt idx="131">
                  <c:v>1489.088493656946</c:v>
                </c:pt>
                <c:pt idx="132">
                  <c:v>1488.9239155875746</c:v>
                </c:pt>
                <c:pt idx="133">
                  <c:v>1488.7599230295993</c:v>
                </c:pt>
                <c:pt idx="134">
                  <c:v>1488.5964973784126</c:v>
                </c:pt>
                <c:pt idx="135">
                  <c:v>1488.4336210262263</c:v>
                </c:pt>
                <c:pt idx="136">
                  <c:v>1488.2712772951818</c:v>
                </c:pt>
                <c:pt idx="137">
                  <c:v>1488.1094503762863</c:v>
                </c:pt>
                <c:pt idx="138">
                  <c:v>1487.9481252735725</c:v>
                </c:pt>
                <c:pt idx="139">
                  <c:v>1487.7872877529455</c:v>
                </c:pt>
                <c:pt idx="140">
                  <c:v>1487.6269242952474</c:v>
                </c:pt>
                <c:pt idx="141">
                  <c:v>1487.4670220531243</c:v>
                </c:pt>
                <c:pt idx="142">
                  <c:v>1487.3075688113292</c:v>
                </c:pt>
                <c:pt idx="143">
                  <c:v>1487.1485529501319</c:v>
                </c:pt>
                <c:pt idx="144">
                  <c:v>1486.9899634115452</c:v>
                </c:pt>
                <c:pt idx="145">
                  <c:v>1486.831789668111</c:v>
                </c:pt>
                <c:pt idx="146">
                  <c:v>1486.6740216940129</c:v>
                </c:pt>
                <c:pt idx="147">
                  <c:v>1486.5166499383067</c:v>
                </c:pt>
                <c:pt idx="148">
                  <c:v>1486.3596653000866</c:v>
                </c:pt>
              </c:numCache>
            </c:numRef>
          </c:yVal>
          <c:smooth val="1"/>
          <c:extLst>
            <c:ext xmlns:c16="http://schemas.microsoft.com/office/drawing/2014/chart" uri="{C3380CC4-5D6E-409C-BE32-E72D297353CC}">
              <c16:uniqueId val="{00000000-3B58-488B-BD6B-B07E28876376}"/>
            </c:ext>
          </c:extLst>
        </c:ser>
        <c:ser>
          <c:idx val="1"/>
          <c:order val="1"/>
          <c:tx>
            <c:v>z-t</c:v>
          </c:tx>
          <c:spPr>
            <a:ln>
              <a:solidFill>
                <a:srgbClr val="FF0000"/>
              </a:solidFill>
            </a:ln>
          </c:spPr>
          <c:marker>
            <c:symbol val="square"/>
            <c:size val="7"/>
            <c:spPr>
              <a:solidFill>
                <a:srgbClr val="FF0000"/>
              </a:solidFill>
              <a:ln>
                <a:solidFill>
                  <a:srgbClr val="FF0000"/>
                </a:solidFill>
              </a:ln>
            </c:spPr>
          </c:marker>
          <c:xVal>
            <c:numRef>
              <c:f>Calculation!$AJ$61:$AJ$209</c:f>
              <c:numCache>
                <c:formatCode>0.000_ </c:formatCode>
                <c:ptCount val="149"/>
                <c:pt idx="0">
                  <c:v>8.0997122011159314E-2</c:v>
                </c:pt>
                <c:pt idx="1">
                  <c:v>8.6794759498639767E-2</c:v>
                </c:pt>
                <c:pt idx="2">
                  <c:v>9.2832478077711278E-2</c:v>
                </c:pt>
                <c:pt idx="3">
                  <c:v>9.9002434704242373E-2</c:v>
                </c:pt>
                <c:pt idx="4">
                  <c:v>0.10530550589723095</c:v>
                </c:pt>
                <c:pt idx="5">
                  <c:v>0.11174275691334166</c:v>
                </c:pt>
                <c:pt idx="6">
                  <c:v>0.1183153349419777</c:v>
                </c:pt>
                <c:pt idx="7">
                  <c:v>0.12502447390204752</c:v>
                </c:pt>
                <c:pt idx="8">
                  <c:v>0.13187149984239316</c:v>
                </c:pt>
                <c:pt idx="9">
                  <c:v>0.13885783685327152</c:v>
                </c:pt>
                <c:pt idx="10">
                  <c:v>0.14598501351750232</c:v>
                </c:pt>
                <c:pt idx="11">
                  <c:v>0.15325466993526332</c:v>
                </c:pt>
                <c:pt idx="12">
                  <c:v>0.16066856536225804</c:v>
                </c:pt>
                <c:pt idx="13">
                  <c:v>0.16822858650731612</c:v>
                </c:pt>
                <c:pt idx="14">
                  <c:v>0.17593675654253993</c:v>
                </c:pt>
                <c:pt idx="15">
                  <c:v>0.18379524488701685</c:v>
                </c:pt>
                <c:pt idx="16">
                  <c:v>0.1918063778340271</c:v>
                </c:pt>
                <c:pt idx="17">
                  <c:v>0.19997265010176929</c:v>
                </c:pt>
                <c:pt idx="18">
                  <c:v>0.20829673739912122</c:v>
                </c:pt>
                <c:pt idx="19">
                  <c:v>0.21678151011109134</c:v>
                </c:pt>
                <c:pt idx="20">
                  <c:v>0.22543004822368765</c:v>
                </c:pt>
                <c:pt idx="21">
                  <c:v>0.23424565762530306</c:v>
                </c:pt>
                <c:pt idx="22">
                  <c:v>0.2432318879417921</c:v>
                </c:pt>
                <c:pt idx="23">
                  <c:v>0.25239255208571071</c:v>
                </c:pt>
                <c:pt idx="24">
                  <c:v>0.26173174772731633</c:v>
                </c:pt>
                <c:pt idx="25">
                  <c:v>0.27125388092662583</c:v>
                </c:pt>
                <c:pt idx="26">
                  <c:v>0.2809636922030192</c:v>
                </c:pt>
                <c:pt idx="27">
                  <c:v>0.29086628536263737</c:v>
                </c:pt>
                <c:pt idx="28">
                  <c:v>0.30096715945558544</c:v>
                </c:pt>
                <c:pt idx="29">
                  <c:v>0.31127224429632933</c:v>
                </c:pt>
                <c:pt idx="30">
                  <c:v>0.3217879400538371</c:v>
                </c:pt>
                <c:pt idx="31">
                  <c:v>0.3325211615055722</c:v>
                </c:pt>
                <c:pt idx="32">
                  <c:v>0.3434793876546689</c:v>
                </c:pt>
                <c:pt idx="33">
                  <c:v>0.35467071753673496</c:v>
                </c:pt>
                <c:pt idx="34">
                  <c:v>0.36610393319696244</c:v>
                </c:pt>
                <c:pt idx="35">
                  <c:v>0.37778857100643182</c:v>
                </c:pt>
                <c:pt idx="36">
                  <c:v>0.38973500271728839</c:v>
                </c:pt>
                <c:pt idx="37">
                  <c:v>0.40195452794119629</c:v>
                </c:pt>
                <c:pt idx="38">
                  <c:v>0.41445948008881356</c:v>
                </c:pt>
                <c:pt idx="39">
                  <c:v>0.42726334824930906</c:v>
                </c:pt>
                <c:pt idx="40">
                  <c:v>0.44038091804378326</c:v>
                </c:pt>
                <c:pt idx="41">
                  <c:v>0.45382843518907678</c:v>
                </c:pt>
                <c:pt idx="42">
                  <c:v>0.46762379640500901</c:v>
                </c:pt>
                <c:pt idx="43">
                  <c:v>0.48178677345142196</c:v>
                </c:pt>
                <c:pt idx="44">
                  <c:v>0.49633927757792196</c:v>
                </c:pt>
                <c:pt idx="45">
                  <c:v>0.51130567362918222</c:v>
                </c:pt>
                <c:pt idx="46">
                  <c:v>0.526713155641232</c:v>
                </c:pt>
                <c:pt idx="47">
                  <c:v>0.54259219923050572</c:v>
                </c:pt>
                <c:pt idx="48">
                  <c:v>0.5589771107659931</c:v>
                </c:pt>
                <c:pt idx="49">
                  <c:v>0.57590669973667863</c:v>
                </c:pt>
                <c:pt idx="50">
                  <c:v>0.59342510964305695</c:v>
                </c:pt>
                <c:pt idx="51">
                  <c:v>0.61158285530775669</c:v>
                </c:pt>
                <c:pt idx="52">
                  <c:v>0.63043813250110581</c:v>
                </c:pt>
                <c:pt idx="53">
                  <c:v>0.65005849203015509</c:v>
                </c:pt>
                <c:pt idx="54">
                  <c:v>0.67052300949483201</c:v>
                </c:pt>
                <c:pt idx="55">
                  <c:v>0.69192514131290805</c:v>
                </c:pt>
                <c:pt idx="56">
                  <c:v>0.7143765502128131</c:v>
                </c:pt>
                <c:pt idx="57">
                  <c:v>0.73801233182278803</c:v>
                </c:pt>
                <c:pt idx="58">
                  <c:v>0.76299831955851449</c:v>
                </c:pt>
                <c:pt idx="59">
                  <c:v>0.78954156631446548</c:v>
                </c:pt>
                <c:pt idx="60">
                  <c:v>0.81790585526815729</c:v>
                </c:pt>
                <c:pt idx="61">
                  <c:v>0.84843550899644793</c:v>
                </c:pt>
                <c:pt idx="62">
                  <c:v>0.87324813165723314</c:v>
                </c:pt>
                <c:pt idx="63">
                  <c:v>0.89984287702331522</c:v>
                </c:pt>
                <c:pt idx="64">
                  <c:v>0.92857801937545881</c:v>
                </c:pt>
                <c:pt idx="65">
                  <c:v>0.94946785895057506</c:v>
                </c:pt>
                <c:pt idx="66">
                  <c:v>0.97178896072124765</c:v>
                </c:pt>
                <c:pt idx="67">
                  <c:v>0.99580898524285433</c:v>
                </c:pt>
                <c:pt idx="68">
                  <c:v>1.0219006914022599</c:v>
                </c:pt>
                <c:pt idx="69">
                  <c:v>1.0505898331882622</c:v>
                </c:pt>
                <c:pt idx="70">
                  <c:v>1.0667225866520247</c:v>
                </c:pt>
                <c:pt idx="71">
                  <c:v>1.0839918497268184</c:v>
                </c:pt>
                <c:pt idx="72">
                  <c:v>1.1025718489988945</c:v>
                </c:pt>
                <c:pt idx="73">
                  <c:v>1.1227581728902591</c:v>
                </c:pt>
                <c:pt idx="74">
                  <c:v>1.1449718783342413</c:v>
                </c:pt>
                <c:pt idx="75">
                  <c:v>1.1698482087068505</c:v>
                </c:pt>
                <c:pt idx="76">
                  <c:v>1.1984228825630086</c:v>
                </c:pt>
                <c:pt idx="77">
                  <c:v>1.2325884041312065</c:v>
                </c:pt>
                <c:pt idx="78">
                  <c:v>1.2765048436526791</c:v>
                </c:pt>
                <c:pt idx="79">
                  <c:v>1.3101513464035612</c:v>
                </c:pt>
                <c:pt idx="80">
                  <c:v>1.3662395249038011</c:v>
                </c:pt>
                <c:pt idx="81">
                  <c:v>1.4276411813826544</c:v>
                </c:pt>
                <c:pt idx="82">
                  <c:v>1.4542066677975676</c:v>
                </c:pt>
                <c:pt idx="83">
                  <c:v>1.4699675143272795</c:v>
                </c:pt>
                <c:pt idx="84">
                  <c:v>1.4830961458158376</c:v>
                </c:pt>
                <c:pt idx="85">
                  <c:v>1.5388088465529057</c:v>
                </c:pt>
                <c:pt idx="86">
                  <c:v>1.5839064074148739</c:v>
                </c:pt>
                <c:pt idx="87">
                  <c:v>1.6191019646248186</c:v>
                </c:pt>
                <c:pt idx="88">
                  <c:v>1.6493756620471325</c:v>
                </c:pt>
                <c:pt idx="89">
                  <c:v>1.6767626082899545</c:v>
                </c:pt>
                <c:pt idx="90">
                  <c:v>1.7021558402934942</c:v>
                </c:pt>
                <c:pt idx="91">
                  <c:v>1.726047356782149</c:v>
                </c:pt>
                <c:pt idx="92">
                  <c:v>1.7487501661563387</c:v>
                </c:pt>
                <c:pt idx="93">
                  <c:v>1.7704804939704857</c:v>
                </c:pt>
                <c:pt idx="94">
                  <c:v>1.7913959427837762</c:v>
                </c:pt>
                <c:pt idx="95">
                  <c:v>1.8116159285062368</c:v>
                </c:pt>
                <c:pt idx="96">
                  <c:v>1.8312336640501954</c:v>
                </c:pt>
                <c:pt idx="97">
                  <c:v>1.8503236519791126</c:v>
                </c:pt>
                <c:pt idx="98">
                  <c:v>1.8689466040664455</c:v>
                </c:pt>
                <c:pt idx="99">
                  <c:v>1.8871527997870534</c:v>
                </c:pt>
                <c:pt idx="100">
                  <c:v>1.9049844535678246</c:v>
                </c:pt>
                <c:pt idx="101">
                  <c:v>1.9224774286339688</c:v>
                </c:pt>
                <c:pt idx="102">
                  <c:v>1.939662506416292</c:v>
                </c:pt>
                <c:pt idx="103">
                  <c:v>1.9565663454555675</c:v>
                </c:pt>
                <c:pt idx="104">
                  <c:v>1.973212218299796</c:v>
                </c:pt>
                <c:pt idx="105">
                  <c:v>1.9896205864255034</c:v>
                </c:pt>
                <c:pt idx="106">
                  <c:v>2.0058095548539643</c:v>
                </c:pt>
                <c:pt idx="107">
                  <c:v>2.0217952359833617</c:v>
                </c:pt>
                <c:pt idx="108">
                  <c:v>2.0375920439329684</c:v>
                </c:pt>
                <c:pt idx="109">
                  <c:v>2.0532129350138644</c:v>
                </c:pt>
                <c:pt idx="110">
                  <c:v>2.068669605944252</c:v>
                </c:pt>
                <c:pt idx="111">
                  <c:v>2.0839726585695018</c:v>
                </c:pt>
                <c:pt idx="112">
                  <c:v>2.0991317377729253</c:v>
                </c:pt>
                <c:pt idx="113">
                  <c:v>2.1141556477371615</c:v>
                </c:pt>
                <c:pt idx="114">
                  <c:v>2.1290524505792177</c:v>
                </c:pt>
                <c:pt idx="115">
                  <c:v>2.143829550525516</c:v>
                </c:pt>
                <c:pt idx="116">
                  <c:v>2.1584937661407957</c:v>
                </c:pt>
                <c:pt idx="117">
                  <c:v>2.173051392623095</c:v>
                </c:pt>
                <c:pt idx="118">
                  <c:v>2.1875082557874412</c:v>
                </c:pt>
                <c:pt idx="119">
                  <c:v>2.2018697590561662</c:v>
                </c:pt>
                <c:pt idx="120">
                  <c:v>2.2161409245332382</c:v>
                </c:pt>
                <c:pt idx="121">
                  <c:v>2.2303264290488283</c:v>
                </c:pt>
                <c:pt idx="122">
                  <c:v>2.2444306359073845</c:v>
                </c:pt>
                <c:pt idx="123">
                  <c:v>2.2584576229491486</c:v>
                </c:pt>
                <c:pt idx="124">
                  <c:v>2.2724112074352161</c:v>
                </c:pt>
                <c:pt idx="125">
                  <c:v>2.2862949681847011</c:v>
                </c:pt>
                <c:pt idx="126">
                  <c:v>2.3001122653258061</c:v>
                </c:pt>
                <c:pt idx="127">
                  <c:v>2.3138662579675402</c:v>
                </c:pt>
                <c:pt idx="128">
                  <c:v>2.327559920053226</c:v>
                </c:pt>
                <c:pt idx="129">
                  <c:v>2.3411960546190151</c:v>
                </c:pt>
                <c:pt idx="130">
                  <c:v>2.3547773066489133</c:v>
                </c:pt>
                <c:pt idx="131">
                  <c:v>2.3683061746911913</c:v>
                </c:pt>
                <c:pt idx="132">
                  <c:v>2.3817850213786356</c:v>
                </c:pt>
                <c:pt idx="133">
                  <c:v>2.3952160829760896</c:v>
                </c:pt>
                <c:pt idx="134">
                  <c:v>2.4086014780626877</c:v>
                </c:pt>
                <c:pt idx="135">
                  <c:v>2.4219432154423539</c:v>
                </c:pt>
                <c:pt idx="136">
                  <c:v>2.4352432013644436</c:v>
                </c:pt>
                <c:pt idx="137">
                  <c:v>2.4485032461263696</c:v>
                </c:pt>
                <c:pt idx="138">
                  <c:v>2.4617250701213025</c:v>
                </c:pt>
                <c:pt idx="139">
                  <c:v>2.4749103093865896</c:v>
                </c:pt>
                <c:pt idx="140">
                  <c:v>2.4880605207021391</c:v>
                </c:pt>
                <c:pt idx="141">
                  <c:v>2.5011771862822267</c:v>
                </c:pt>
                <c:pt idx="142">
                  <c:v>2.514261718099462</c:v>
                </c:pt>
                <c:pt idx="143">
                  <c:v>2.5273154618752702</c:v>
                </c:pt>
                <c:pt idx="144">
                  <c:v>2.5403397007676065</c:v>
                </c:pt>
                <c:pt idx="145">
                  <c:v>2.5533356587832299</c:v>
                </c:pt>
                <c:pt idx="146">
                  <c:v>2.5663045039391115</c:v>
                </c:pt>
                <c:pt idx="147">
                  <c:v>2.5792473511949465</c:v>
                </c:pt>
                <c:pt idx="148">
                  <c:v>2.5921652651765399</c:v>
                </c:pt>
              </c:numCache>
            </c:numRef>
          </c:xVal>
          <c:yVal>
            <c:numRef>
              <c:f>Calculation!$C$61:$C$209</c:f>
              <c:numCache>
                <c:formatCode>0.000_ </c:formatCode>
                <c:ptCount val="149"/>
                <c:pt idx="0">
                  <c:v>1497.65</c:v>
                </c:pt>
                <c:pt idx="1">
                  <c:v>1497.1295497358747</c:v>
                </c:pt>
                <c:pt idx="2">
                  <c:v>1497.0916133098935</c:v>
                </c:pt>
                <c:pt idx="3">
                  <c:v>1497.0517213662847</c:v>
                </c:pt>
                <c:pt idx="4">
                  <c:v>1497.0105764627799</c:v>
                </c:pt>
                <c:pt idx="5">
                  <c:v>1496.9681698362701</c:v>
                </c:pt>
                <c:pt idx="6">
                  <c:v>1496.9244915132474</c:v>
                </c:pt>
                <c:pt idx="7">
                  <c:v>1496.8795309917473</c:v>
                </c:pt>
                <c:pt idx="8">
                  <c:v>1496.8332771866358</c:v>
                </c:pt>
                <c:pt idx="9">
                  <c:v>1496.7857183713563</c:v>
                </c:pt>
                <c:pt idx="10">
                  <c:v>1496.7368421165465</c:v>
                </c:pt>
                <c:pt idx="11">
                  <c:v>1496.6866352251411</c:v>
                </c:pt>
                <c:pt idx="12">
                  <c:v>1496.6350836635477</c:v>
                </c:pt>
                <c:pt idx="13">
                  <c:v>1496.5821724884495</c:v>
                </c:pt>
                <c:pt idx="14">
                  <c:v>1496.5278857687488</c:v>
                </c:pt>
                <c:pt idx="15">
                  <c:v>1496.472206502116</c:v>
                </c:pt>
                <c:pt idx="16">
                  <c:v>1496.4151165255521</c:v>
                </c:pt>
                <c:pt idx="17">
                  <c:v>1496.3565964193083</c:v>
                </c:pt>
                <c:pt idx="18">
                  <c:v>1496.2966254034261</c:v>
                </c:pt>
                <c:pt idx="19">
                  <c:v>1496.2351812260708</c:v>
                </c:pt>
                <c:pt idx="20">
                  <c:v>1496.1722400427284</c:v>
                </c:pt>
                <c:pt idx="21">
                  <c:v>1496.1077762852115</c:v>
                </c:pt>
                <c:pt idx="22">
                  <c:v>1496.0417625192774</c:v>
                </c:pt>
                <c:pt idx="23">
                  <c:v>1495.9741692894966</c:v>
                </c:pt>
                <c:pt idx="24">
                  <c:v>1495.9049649498152</c:v>
                </c:pt>
                <c:pt idx="25">
                  <c:v>1495.8341154780296</c:v>
                </c:pt>
                <c:pt idx="26">
                  <c:v>1495.7615842721245</c:v>
                </c:pt>
                <c:pt idx="27">
                  <c:v>1495.6873319261122</c:v>
                </c:pt>
                <c:pt idx="28">
                  <c:v>1495.6113159826457</c:v>
                </c:pt>
                <c:pt idx="29">
                  <c:v>1495.5334906592389</c:v>
                </c:pt>
                <c:pt idx="30">
                  <c:v>1495.4538065444096</c:v>
                </c:pt>
                <c:pt idx="31">
                  <c:v>1495.3722102594443</c:v>
                </c:pt>
                <c:pt idx="32">
                  <c:v>1495.288644080739</c:v>
                </c:pt>
                <c:pt idx="33">
                  <c:v>1495.2030455167899</c:v>
                </c:pt>
                <c:pt idx="34">
                  <c:v>1495.1153468328193</c:v>
                </c:pt>
                <c:pt idx="35">
                  <c:v>1495.0254745147297</c:v>
                </c:pt>
                <c:pt idx="36">
                  <c:v>1494.9333486624769</c:v>
                </c:pt>
                <c:pt idx="37">
                  <c:v>1494.8388823010055</c:v>
                </c:pt>
                <c:pt idx="38">
                  <c:v>1494.741980594478</c:v>
                </c:pt>
                <c:pt idx="39">
                  <c:v>1494.6425399465379</c:v>
                </c:pt>
                <c:pt idx="40">
                  <c:v>1494.540446965613</c:v>
                </c:pt>
                <c:pt idx="41">
                  <c:v>1494.4355772695703</c:v>
                </c:pt>
                <c:pt idx="42">
                  <c:v>1494.327794098087</c:v>
                </c:pt>
                <c:pt idx="43">
                  <c:v>1494.2169466935122</c:v>
                </c:pt>
                <c:pt idx="44">
                  <c:v>1494.102868401241</c:v>
                </c:pt>
                <c:pt idx="45">
                  <c:v>1493.9853744279519</c:v>
                </c:pt>
                <c:pt idx="46">
                  <c:v>1493.864259179481</c:v>
                </c:pt>
                <c:pt idx="47">
                  <c:v>1493.7392930781696</c:v>
                </c:pt>
                <c:pt idx="48">
                  <c:v>1493.6102187301954</c:v>
                </c:pt>
                <c:pt idx="49">
                  <c:v>1493.4767462737389</c:v>
                </c:pt>
                <c:pt idx="50">
                  <c:v>1493.338547684509</c:v>
                </c:pt>
                <c:pt idx="51">
                  <c:v>1493.1952497397383</c:v>
                </c:pt>
                <c:pt idx="52">
                  <c:v>1493.0464252354711</c:v>
                </c:pt>
                <c:pt idx="53">
                  <c:v>1492.8915818997345</c:v>
                </c:pt>
                <c:pt idx="54">
                  <c:v>1492.7301482221685</c:v>
                </c:pt>
                <c:pt idx="55">
                  <c:v>1492.5614550904406</c:v>
                </c:pt>
                <c:pt idx="56">
                  <c:v>1492.3847116215256</c:v>
                </c:pt>
                <c:pt idx="57">
                  <c:v>1492.198972793019</c:v>
                </c:pt>
                <c:pt idx="58">
                  <c:v>1492.0030952247675</c:v>
                </c:pt>
                <c:pt idx="59">
                  <c:v>1491.7956753850392</c:v>
                </c:pt>
                <c:pt idx="60">
                  <c:v>1491.5749609340314</c:v>
                </c:pt>
                <c:pt idx="61">
                  <c:v>1491.3387195457346</c:v>
                </c:pt>
                <c:pt idx="62">
                  <c:v>1491.0840375731862</c:v>
                </c:pt>
                <c:pt idx="63">
                  <c:v>1490.8767843969677</c:v>
                </c:pt>
                <c:pt idx="64">
                  <c:v>1490.6543884320545</c:v>
                </c:pt>
                <c:pt idx="65">
                  <c:v>1490.4138197731888</c:v>
                </c:pt>
                <c:pt idx="66">
                  <c:v>1490.2387836198479</c:v>
                </c:pt>
                <c:pt idx="67">
                  <c:v>1490.0516154553193</c:v>
                </c:pt>
                <c:pt idx="68">
                  <c:v>1489.8500527723763</c:v>
                </c:pt>
                <c:pt idx="69">
                  <c:v>1489.63094581162</c:v>
                </c:pt>
                <c:pt idx="70">
                  <c:v>1489.3898525931318</c:v>
                </c:pt>
                <c:pt idx="71">
                  <c:v>1489.2542174338821</c:v>
                </c:pt>
                <c:pt idx="72">
                  <c:v>1489.1089744713599</c:v>
                </c:pt>
                <c:pt idx="73">
                  <c:v>1488.9526511841598</c:v>
                </c:pt>
                <c:pt idx="74">
                  <c:v>1488.782752072909</c:v>
                </c:pt>
                <c:pt idx="75">
                  <c:v>1488.5957226393894</c:v>
                </c:pt>
                <c:pt idx="76">
                  <c:v>1488.3862006796094</c:v>
                </c:pt>
                <c:pt idx="77">
                  <c:v>1488.145444189078</c:v>
                </c:pt>
                <c:pt idx="78">
                  <c:v>1487.8574806643408</c:v>
                </c:pt>
                <c:pt idx="79">
                  <c:v>1487.4872021845504</c:v>
                </c:pt>
                <c:pt idx="80">
                  <c:v>1487.2034508982176</c:v>
                </c:pt>
                <c:pt idx="81">
                  <c:v>1486.7303569449414</c:v>
                </c:pt>
                <c:pt idx="82">
                  <c:v>1486.2123841894979</c:v>
                </c:pt>
                <c:pt idx="83">
                  <c:v>1485.9882893290851</c:v>
                </c:pt>
                <c:pt idx="84">
                  <c:v>1485.8553471559467</c:v>
                </c:pt>
                <c:pt idx="85">
                  <c:v>1485.7446155073537</c:v>
                </c:pt>
                <c:pt idx="86">
                  <c:v>1485.2748364918355</c:v>
                </c:pt>
                <c:pt idx="87">
                  <c:v>1484.8946895853294</c:v>
                </c:pt>
                <c:pt idx="88">
                  <c:v>1484.5981077406675</c:v>
                </c:pt>
                <c:pt idx="89">
                  <c:v>1484.3430844819854</c:v>
                </c:pt>
                <c:pt idx="90">
                  <c:v>1484.1124549933311</c:v>
                </c:pt>
                <c:pt idx="91">
                  <c:v>1483.8986856623981</c:v>
                </c:pt>
                <c:pt idx="92">
                  <c:v>1483.6976252316244</c:v>
                </c:pt>
                <c:pt idx="93">
                  <c:v>1483.5066323209862</c:v>
                </c:pt>
                <c:pt idx="94">
                  <c:v>1483.3238820839251</c:v>
                </c:pt>
                <c:pt idx="95">
                  <c:v>1483.1480443192952</c:v>
                </c:pt>
                <c:pt idx="96">
                  <c:v>1482.9781110674594</c:v>
                </c:pt>
                <c:pt idx="97">
                  <c:v>1482.8132955057768</c:v>
                </c:pt>
                <c:pt idx="98">
                  <c:v>1482.6529687292473</c:v>
                </c:pt>
                <c:pt idx="99">
                  <c:v>1482.4966182387145</c:v>
                </c:pt>
                <c:pt idx="100">
                  <c:v>1482.3438195996466</c:v>
                </c:pt>
                <c:pt idx="101">
                  <c:v>1482.1942164644106</c:v>
                </c:pt>
                <c:pt idx="102">
                  <c:v>1482.0475061078826</c:v>
                </c:pt>
                <c:pt idx="103">
                  <c:v>1481.9034287133691</c:v>
                </c:pt>
                <c:pt idx="104">
                  <c:v>1481.761759278779</c:v>
                </c:pt>
                <c:pt idx="105">
                  <c:v>1481.6223013963452</c:v>
                </c:pt>
                <c:pt idx="106">
                  <c:v>1481.484882399348</c:v>
                </c:pt>
                <c:pt idx="107">
                  <c:v>1481.3493495242055</c:v>
                </c:pt>
                <c:pt idx="108">
                  <c:v>1481.2155668388102</c:v>
                </c:pt>
                <c:pt idx="109">
                  <c:v>1481.0834127573892</c:v>
                </c:pt>
                <c:pt idx="110">
                  <c:v>1480.9527780101146</c:v>
                </c:pt>
                <c:pt idx="111">
                  <c:v>1480.8235639694078</c:v>
                </c:pt>
                <c:pt idx="112">
                  <c:v>1480.6956812590031</c:v>
                </c:pt>
                <c:pt idx="113">
                  <c:v>1480.5690485893363</c:v>
                </c:pt>
                <c:pt idx="114">
                  <c:v>1480.4435917757078</c:v>
                </c:pt>
                <c:pt idx="115">
                  <c:v>1480.3192429052615</c:v>
                </c:pt>
                <c:pt idx="116">
                  <c:v>1480.1959396260488</c:v>
                </c:pt>
                <c:pt idx="117">
                  <c:v>1480.0736245369603</c:v>
                </c:pt>
                <c:pt idx="118">
                  <c:v>1479.9522446615363</c:v>
                </c:pt>
                <c:pt idx="119">
                  <c:v>1479.8317509919582</c:v>
                </c:pt>
                <c:pt idx="120">
                  <c:v>1479.7120980920943</c:v>
                </c:pt>
                <c:pt idx="121">
                  <c:v>1479.5932437505041</c:v>
                </c:pt>
                <c:pt idx="122">
                  <c:v>1479.4751486759185</c:v>
                </c:pt>
                <c:pt idx="123">
                  <c:v>1479.3577762290045</c:v>
                </c:pt>
                <c:pt idx="124">
                  <c:v>1479.2410921852652</c:v>
                </c:pt>
                <c:pt idx="125">
                  <c:v>1479.1250645247674</c:v>
                </c:pt>
                <c:pt idx="126">
                  <c:v>1479.0096632450775</c:v>
                </c:pt>
                <c:pt idx="127">
                  <c:v>1478.8948601943516</c:v>
                </c:pt>
                <c:pt idx="128">
                  <c:v>1478.7806289219882</c:v>
                </c:pt>
                <c:pt idx="129">
                  <c:v>1478.6669445446394</c:v>
                </c:pt>
                <c:pt idx="130">
                  <c:v>1478.5537836256951</c:v>
                </c:pt>
                <c:pt idx="131">
                  <c:v>1478.4411240666229</c:v>
                </c:pt>
                <c:pt idx="132">
                  <c:v>1478.3289450087696</c:v>
                </c:pt>
                <c:pt idx="133">
                  <c:v>1478.2172267444244</c:v>
                </c:pt>
                <c:pt idx="134">
                  <c:v>1478.1059506360987</c:v>
                </c:pt>
                <c:pt idx="135">
                  <c:v>1477.9950990431159</c:v>
                </c:pt>
                <c:pt idx="136">
                  <c:v>1477.8846552547207</c:v>
                </c:pt>
                <c:pt idx="137">
                  <c:v>1477.7746034290162</c:v>
                </c:pt>
                <c:pt idx="138">
                  <c:v>1477.6649285371236</c:v>
                </c:pt>
                <c:pt idx="139">
                  <c:v>1477.555616312028</c:v>
                </c:pt>
                <c:pt idx="140">
                  <c:v>1477.446653201644</c:v>
                </c:pt>
                <c:pt idx="141">
                  <c:v>1477.3380263256831</c:v>
                </c:pt>
                <c:pt idx="142">
                  <c:v>1477.2297234359553</c:v>
                </c:pt>
                <c:pt idx="143">
                  <c:v>1477.1217328797791</c:v>
                </c:pt>
                <c:pt idx="144">
                  <c:v>1477.0140435662092</c:v>
                </c:pt>
                <c:pt idx="145">
                  <c:v>1476.9066449348215</c:v>
                </c:pt>
                <c:pt idx="146">
                  <c:v>1476.7995269268251</c:v>
                </c:pt>
                <c:pt idx="147">
                  <c:v>1476.6926799582941</c:v>
                </c:pt>
                <c:pt idx="148">
                  <c:v>1476.5860948953327</c:v>
                </c:pt>
              </c:numCache>
            </c:numRef>
          </c:yVal>
          <c:smooth val="1"/>
          <c:extLst>
            <c:ext xmlns:c16="http://schemas.microsoft.com/office/drawing/2014/chart" uri="{C3380CC4-5D6E-409C-BE32-E72D297353CC}">
              <c16:uniqueId val="{00000001-3B58-488B-BD6B-B07E28876376}"/>
            </c:ext>
          </c:extLst>
        </c:ser>
        <c:dLbls>
          <c:showLegendKey val="0"/>
          <c:showVal val="0"/>
          <c:showCatName val="0"/>
          <c:showSerName val="0"/>
          <c:showPercent val="0"/>
          <c:showBubbleSize val="0"/>
        </c:dLbls>
        <c:axId val="-1332159056"/>
        <c:axId val="-1332155792"/>
      </c:scatterChart>
      <c:valAx>
        <c:axId val="-1332159056"/>
        <c:scaling>
          <c:orientation val="minMax"/>
          <c:min val="0"/>
        </c:scaling>
        <c:delete val="0"/>
        <c:axPos val="b"/>
        <c:numFmt formatCode="0_ " sourceLinked="0"/>
        <c:majorTickMark val="out"/>
        <c:minorTickMark val="none"/>
        <c:tickLblPos val="nextTo"/>
        <c:txPr>
          <a:bodyPr/>
          <a:lstStyle/>
          <a:p>
            <a:pPr>
              <a:defRPr sz="1200">
                <a:latin typeface="Times New Roman" pitchFamily="18" charset="0"/>
                <a:cs typeface="Times New Roman" pitchFamily="18" charset="0"/>
              </a:defRPr>
            </a:pPr>
            <a:endParaRPr lang="zh-CN"/>
          </a:p>
        </c:txPr>
        <c:crossAx val="-1332155792"/>
        <c:crosses val="autoZero"/>
        <c:crossBetween val="midCat"/>
      </c:valAx>
      <c:valAx>
        <c:axId val="-1332155792"/>
        <c:scaling>
          <c:orientation val="minMax"/>
        </c:scaling>
        <c:delete val="0"/>
        <c:axPos val="l"/>
        <c:majorGridlines/>
        <c:numFmt formatCode="0_ " sourceLinked="0"/>
        <c:majorTickMark val="out"/>
        <c:minorTickMark val="none"/>
        <c:tickLblPos val="nextTo"/>
        <c:txPr>
          <a:bodyPr/>
          <a:lstStyle/>
          <a:p>
            <a:pPr>
              <a:defRPr sz="1200">
                <a:latin typeface="Times New Roman" pitchFamily="18" charset="0"/>
                <a:cs typeface="Times New Roman" pitchFamily="18" charset="0"/>
              </a:defRPr>
            </a:pPr>
            <a:endParaRPr lang="zh-CN"/>
          </a:p>
        </c:txPr>
        <c:crossAx val="-1332159056"/>
        <c:crosses val="autoZero"/>
        <c:crossBetween val="midCat"/>
      </c:valAx>
    </c:plotArea>
    <c:legend>
      <c:legendPos val="r"/>
      <c:layout>
        <c:manualLayout>
          <c:xMode val="edge"/>
          <c:yMode val="edge"/>
          <c:x val="0.65289874092085309"/>
          <c:y val="8.4950793355978743E-2"/>
          <c:w val="0.30558160206698182"/>
          <c:h val="0.22194961792137621"/>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5074478253338608"/>
          <c:y val="7.6141621627011324E-2"/>
          <c:w val="0.80188032361094252"/>
          <c:h val="0.77877704961690664"/>
        </c:manualLayout>
      </c:layout>
      <c:scatterChart>
        <c:scatterStyle val="smoothMarker"/>
        <c:varyColors val="0"/>
        <c:ser>
          <c:idx val="0"/>
          <c:order val="0"/>
          <c:spPr>
            <a:ln>
              <a:solidFill>
                <a:srgbClr val="0070C0"/>
              </a:solidFill>
            </a:ln>
          </c:spPr>
          <c:marker>
            <c:symbol val="none"/>
          </c:marker>
          <c:xVal>
            <c:numRef>
              <c:f>Calculation!$AJ$61:$AJ$471</c:f>
              <c:numCache>
                <c:formatCode>0.000_ </c:formatCode>
                <c:ptCount val="411"/>
                <c:pt idx="0">
                  <c:v>8.0997122011159314E-2</c:v>
                </c:pt>
                <c:pt idx="1">
                  <c:v>8.6794759498639767E-2</c:v>
                </c:pt>
                <c:pt idx="2">
                  <c:v>9.2832478077711278E-2</c:v>
                </c:pt>
                <c:pt idx="3">
                  <c:v>9.9002434704242373E-2</c:v>
                </c:pt>
                <c:pt idx="4">
                  <c:v>0.10530550589723095</c:v>
                </c:pt>
                <c:pt idx="5">
                  <c:v>0.11174275691334166</c:v>
                </c:pt>
                <c:pt idx="6">
                  <c:v>0.1183153349419777</c:v>
                </c:pt>
                <c:pt idx="7">
                  <c:v>0.12502447390204752</c:v>
                </c:pt>
                <c:pt idx="8">
                  <c:v>0.13187149984239316</c:v>
                </c:pt>
                <c:pt idx="9">
                  <c:v>0.13885783685327152</c:v>
                </c:pt>
                <c:pt idx="10">
                  <c:v>0.14598501351750232</c:v>
                </c:pt>
                <c:pt idx="11">
                  <c:v>0.15325466993526332</c:v>
                </c:pt>
                <c:pt idx="12">
                  <c:v>0.16066856536225804</c:v>
                </c:pt>
                <c:pt idx="13">
                  <c:v>0.16822858650731612</c:v>
                </c:pt>
                <c:pt idx="14">
                  <c:v>0.17593675654253993</c:v>
                </c:pt>
                <c:pt idx="15">
                  <c:v>0.18379524488701685</c:v>
                </c:pt>
                <c:pt idx="16">
                  <c:v>0.1918063778340271</c:v>
                </c:pt>
                <c:pt idx="17">
                  <c:v>0.19997265010176929</c:v>
                </c:pt>
                <c:pt idx="18">
                  <c:v>0.20829673739912122</c:v>
                </c:pt>
                <c:pt idx="19">
                  <c:v>0.21678151011109134</c:v>
                </c:pt>
                <c:pt idx="20">
                  <c:v>0.22543004822368765</c:v>
                </c:pt>
                <c:pt idx="21">
                  <c:v>0.23424565762530306</c:v>
                </c:pt>
                <c:pt idx="22">
                  <c:v>0.2432318879417921</c:v>
                </c:pt>
                <c:pt idx="23">
                  <c:v>0.25239255208571071</c:v>
                </c:pt>
                <c:pt idx="24">
                  <c:v>0.26173174772731633</c:v>
                </c:pt>
                <c:pt idx="25">
                  <c:v>0.27125388092662583</c:v>
                </c:pt>
                <c:pt idx="26">
                  <c:v>0.2809636922030192</c:v>
                </c:pt>
                <c:pt idx="27">
                  <c:v>0.29086628536263737</c:v>
                </c:pt>
                <c:pt idx="28">
                  <c:v>0.30096715945558544</c:v>
                </c:pt>
                <c:pt idx="29">
                  <c:v>0.31127224429632933</c:v>
                </c:pt>
                <c:pt idx="30">
                  <c:v>0.3217879400538371</c:v>
                </c:pt>
                <c:pt idx="31">
                  <c:v>0.3325211615055722</c:v>
                </c:pt>
                <c:pt idx="32">
                  <c:v>0.3434793876546689</c:v>
                </c:pt>
                <c:pt idx="33">
                  <c:v>0.35467071753673496</c:v>
                </c:pt>
                <c:pt idx="34">
                  <c:v>0.36610393319696244</c:v>
                </c:pt>
                <c:pt idx="35">
                  <c:v>0.37778857100643182</c:v>
                </c:pt>
                <c:pt idx="36">
                  <c:v>0.38973500271728839</c:v>
                </c:pt>
                <c:pt idx="37">
                  <c:v>0.40195452794119629</c:v>
                </c:pt>
                <c:pt idx="38">
                  <c:v>0.41445948008881356</c:v>
                </c:pt>
                <c:pt idx="39">
                  <c:v>0.42726334824930906</c:v>
                </c:pt>
                <c:pt idx="40">
                  <c:v>0.44038091804378326</c:v>
                </c:pt>
                <c:pt idx="41">
                  <c:v>0.45382843518907678</c:v>
                </c:pt>
                <c:pt idx="42">
                  <c:v>0.46762379640500901</c:v>
                </c:pt>
                <c:pt idx="43">
                  <c:v>0.48178677345142196</c:v>
                </c:pt>
                <c:pt idx="44">
                  <c:v>0.49633927757792196</c:v>
                </c:pt>
                <c:pt idx="45">
                  <c:v>0.51130567362918222</c:v>
                </c:pt>
                <c:pt idx="46">
                  <c:v>0.526713155641232</c:v>
                </c:pt>
                <c:pt idx="47">
                  <c:v>0.54259219923050572</c:v>
                </c:pt>
                <c:pt idx="48">
                  <c:v>0.5589771107659931</c:v>
                </c:pt>
                <c:pt idx="49">
                  <c:v>0.57590669973667863</c:v>
                </c:pt>
                <c:pt idx="50">
                  <c:v>0.59342510964305695</c:v>
                </c:pt>
                <c:pt idx="51">
                  <c:v>0.61158285530775669</c:v>
                </c:pt>
                <c:pt idx="52">
                  <c:v>0.63043813250110581</c:v>
                </c:pt>
                <c:pt idx="53">
                  <c:v>0.65005849203015509</c:v>
                </c:pt>
                <c:pt idx="54">
                  <c:v>0.67052300949483201</c:v>
                </c:pt>
                <c:pt idx="55">
                  <c:v>0.69192514131290805</c:v>
                </c:pt>
                <c:pt idx="56">
                  <c:v>0.7143765502128131</c:v>
                </c:pt>
                <c:pt idx="57">
                  <c:v>0.73801233182278803</c:v>
                </c:pt>
                <c:pt idx="58">
                  <c:v>0.76299831955851449</c:v>
                </c:pt>
                <c:pt idx="59">
                  <c:v>0.78954156631446548</c:v>
                </c:pt>
                <c:pt idx="60">
                  <c:v>0.81790585526815729</c:v>
                </c:pt>
                <c:pt idx="61">
                  <c:v>0.84843550899644793</c:v>
                </c:pt>
                <c:pt idx="62">
                  <c:v>0.87324813165723314</c:v>
                </c:pt>
                <c:pt idx="63">
                  <c:v>0.89984287702331522</c:v>
                </c:pt>
                <c:pt idx="64">
                  <c:v>0.92857801937545881</c:v>
                </c:pt>
                <c:pt idx="65">
                  <c:v>0.94946785895057506</c:v>
                </c:pt>
                <c:pt idx="66">
                  <c:v>0.97178896072124765</c:v>
                </c:pt>
                <c:pt idx="67">
                  <c:v>0.99580898524285433</c:v>
                </c:pt>
                <c:pt idx="68">
                  <c:v>1.0219006914022599</c:v>
                </c:pt>
                <c:pt idx="69">
                  <c:v>1.0505898331882622</c:v>
                </c:pt>
                <c:pt idx="70">
                  <c:v>1.0667225866520247</c:v>
                </c:pt>
                <c:pt idx="71">
                  <c:v>1.0839918497268184</c:v>
                </c:pt>
                <c:pt idx="72">
                  <c:v>1.1025718489988945</c:v>
                </c:pt>
                <c:pt idx="73">
                  <c:v>1.1227581728902591</c:v>
                </c:pt>
                <c:pt idx="74">
                  <c:v>1.1449718783342413</c:v>
                </c:pt>
                <c:pt idx="75">
                  <c:v>1.1698482087068505</c:v>
                </c:pt>
                <c:pt idx="76">
                  <c:v>1.1984228825630086</c:v>
                </c:pt>
                <c:pt idx="77">
                  <c:v>1.2325884041312065</c:v>
                </c:pt>
                <c:pt idx="78">
                  <c:v>1.2765048436526791</c:v>
                </c:pt>
                <c:pt idx="79">
                  <c:v>1.3101513464035612</c:v>
                </c:pt>
                <c:pt idx="80">
                  <c:v>1.3662395249038011</c:v>
                </c:pt>
                <c:pt idx="81">
                  <c:v>1.4276411813826544</c:v>
                </c:pt>
                <c:pt idx="82">
                  <c:v>1.4542066677975676</c:v>
                </c:pt>
                <c:pt idx="83">
                  <c:v>1.4699675143272795</c:v>
                </c:pt>
                <c:pt idx="84">
                  <c:v>1.4830961458158376</c:v>
                </c:pt>
                <c:pt idx="85">
                  <c:v>1.5388088465529057</c:v>
                </c:pt>
                <c:pt idx="86">
                  <c:v>1.5839064074148739</c:v>
                </c:pt>
                <c:pt idx="87">
                  <c:v>1.6191019646248186</c:v>
                </c:pt>
                <c:pt idx="88">
                  <c:v>1.6493756620471325</c:v>
                </c:pt>
                <c:pt idx="89">
                  <c:v>1.6767626082899545</c:v>
                </c:pt>
                <c:pt idx="90">
                  <c:v>1.7021558402934942</c:v>
                </c:pt>
                <c:pt idx="91">
                  <c:v>1.726047356782149</c:v>
                </c:pt>
                <c:pt idx="92">
                  <c:v>1.7487501661563387</c:v>
                </c:pt>
                <c:pt idx="93">
                  <c:v>1.7704804939704857</c:v>
                </c:pt>
                <c:pt idx="94">
                  <c:v>1.7913959427837762</c:v>
                </c:pt>
                <c:pt idx="95">
                  <c:v>1.8116159285062368</c:v>
                </c:pt>
                <c:pt idx="96">
                  <c:v>1.8312336640501954</c:v>
                </c:pt>
                <c:pt idx="97">
                  <c:v>1.8503236519791126</c:v>
                </c:pt>
                <c:pt idx="98">
                  <c:v>1.8689466040664455</c:v>
                </c:pt>
                <c:pt idx="99">
                  <c:v>1.8871527997870534</c:v>
                </c:pt>
                <c:pt idx="100">
                  <c:v>1.9049844535678246</c:v>
                </c:pt>
                <c:pt idx="101">
                  <c:v>1.9224774286339688</c:v>
                </c:pt>
                <c:pt idx="102">
                  <c:v>1.939662506416292</c:v>
                </c:pt>
                <c:pt idx="103">
                  <c:v>1.9565663454555675</c:v>
                </c:pt>
                <c:pt idx="104">
                  <c:v>1.973212218299796</c:v>
                </c:pt>
                <c:pt idx="105">
                  <c:v>1.9896205864255034</c:v>
                </c:pt>
                <c:pt idx="106">
                  <c:v>2.0058095548539643</c:v>
                </c:pt>
                <c:pt idx="107">
                  <c:v>2.0217952359833617</c:v>
                </c:pt>
                <c:pt idx="108">
                  <c:v>2.0375920439329684</c:v>
                </c:pt>
                <c:pt idx="109">
                  <c:v>2.0532129350138644</c:v>
                </c:pt>
                <c:pt idx="110">
                  <c:v>2.068669605944252</c:v>
                </c:pt>
                <c:pt idx="111">
                  <c:v>2.0839726585695018</c:v>
                </c:pt>
                <c:pt idx="112">
                  <c:v>2.0991317377729253</c:v>
                </c:pt>
                <c:pt idx="113">
                  <c:v>2.1141556477371615</c:v>
                </c:pt>
                <c:pt idx="114">
                  <c:v>2.1290524505792177</c:v>
                </c:pt>
                <c:pt idx="115">
                  <c:v>2.143829550525516</c:v>
                </c:pt>
                <c:pt idx="116">
                  <c:v>2.1584937661407957</c:v>
                </c:pt>
                <c:pt idx="117">
                  <c:v>2.173051392623095</c:v>
                </c:pt>
                <c:pt idx="118">
                  <c:v>2.1875082557874412</c:v>
                </c:pt>
                <c:pt idx="119">
                  <c:v>2.2018697590561662</c:v>
                </c:pt>
                <c:pt idx="120">
                  <c:v>2.2161409245332382</c:v>
                </c:pt>
                <c:pt idx="121">
                  <c:v>2.2303264290488283</c:v>
                </c:pt>
                <c:pt idx="122">
                  <c:v>2.2444306359073845</c:v>
                </c:pt>
                <c:pt idx="123">
                  <c:v>2.2584576229491486</c:v>
                </c:pt>
                <c:pt idx="124">
                  <c:v>2.2724112074352161</c:v>
                </c:pt>
                <c:pt idx="125">
                  <c:v>2.2862949681847011</c:v>
                </c:pt>
                <c:pt idx="126">
                  <c:v>2.3001122653258061</c:v>
                </c:pt>
                <c:pt idx="127">
                  <c:v>2.3138662579675402</c:v>
                </c:pt>
                <c:pt idx="128">
                  <c:v>2.327559920053226</c:v>
                </c:pt>
                <c:pt idx="129">
                  <c:v>2.3411960546190151</c:v>
                </c:pt>
                <c:pt idx="130">
                  <c:v>2.3547773066489133</c:v>
                </c:pt>
                <c:pt idx="131">
                  <c:v>2.3683061746911913</c:v>
                </c:pt>
                <c:pt idx="132">
                  <c:v>2.3817850213786356</c:v>
                </c:pt>
                <c:pt idx="133">
                  <c:v>2.3952160829760896</c:v>
                </c:pt>
                <c:pt idx="134">
                  <c:v>2.4086014780626877</c:v>
                </c:pt>
                <c:pt idx="135">
                  <c:v>2.4219432154423539</c:v>
                </c:pt>
                <c:pt idx="136">
                  <c:v>2.4352432013644436</c:v>
                </c:pt>
                <c:pt idx="137">
                  <c:v>2.4485032461263696</c:v>
                </c:pt>
                <c:pt idx="138">
                  <c:v>2.4617250701213025</c:v>
                </c:pt>
                <c:pt idx="139">
                  <c:v>2.4749103093865896</c:v>
                </c:pt>
                <c:pt idx="140">
                  <c:v>2.4880605207021391</c:v>
                </c:pt>
                <c:pt idx="141">
                  <c:v>2.5011771862822267</c:v>
                </c:pt>
                <c:pt idx="142">
                  <c:v>2.514261718099462</c:v>
                </c:pt>
                <c:pt idx="143">
                  <c:v>2.5273154618752702</c:v>
                </c:pt>
                <c:pt idx="144">
                  <c:v>2.5403397007676065</c:v>
                </c:pt>
                <c:pt idx="145">
                  <c:v>2.5533356587832299</c:v>
                </c:pt>
                <c:pt idx="146">
                  <c:v>2.5663045039391115</c:v>
                </c:pt>
                <c:pt idx="147">
                  <c:v>2.5792473511949465</c:v>
                </c:pt>
                <c:pt idx="148">
                  <c:v>2.5921652651765399</c:v>
                </c:pt>
                <c:pt idx="149">
                  <c:v>2.6050592627078286</c:v>
                </c:pt>
                <c:pt idx="150">
                  <c:v>2.6179303151675946</c:v>
                </c:pt>
                <c:pt idx="151">
                  <c:v>2.6307793506853598</c:v>
                </c:pt>
                <c:pt idx="152">
                  <c:v>2.6436072561895032</c:v>
                </c:pt>
                <c:pt idx="153">
                  <c:v>2.656414879319569</c:v>
                </c:pt>
                <c:pt idx="154">
                  <c:v>2.6692030302134517</c:v>
                </c:pt>
                <c:pt idx="155">
                  <c:v>2.6819724831792953</c:v>
                </c:pt>
                <c:pt idx="156">
                  <c:v>2.6947239782609946</c:v>
                </c:pt>
                <c:pt idx="157">
                  <c:v>2.7074582227054651</c:v>
                </c:pt>
                <c:pt idx="158">
                  <c:v>2.7201758923390491</c:v>
                </c:pt>
                <c:pt idx="159">
                  <c:v>2.7328776328598923</c:v>
                </c:pt>
                <c:pt idx="160">
                  <c:v>2.7455640610524568</c:v>
                </c:pt>
                <c:pt idx="161">
                  <c:v>2.7582357659298968</c:v>
                </c:pt>
                <c:pt idx="162">
                  <c:v>2.7708933098095261</c:v>
                </c:pt>
                <c:pt idx="163">
                  <c:v>2.7835372293261358</c:v>
                </c:pt>
                <c:pt idx="164">
                  <c:v>2.7961680363876988</c:v>
                </c:pt>
                <c:pt idx="165">
                  <c:v>2.8087862190774198</c:v>
                </c:pt>
                <c:pt idx="166">
                  <c:v>2.8213922425059859</c:v>
                </c:pt>
                <c:pt idx="167">
                  <c:v>2.8339865496174954</c:v>
                </c:pt>
                <c:pt idx="168">
                  <c:v>2.8465695619522644</c:v>
                </c:pt>
                <c:pt idx="169">
                  <c:v>2.8591416803695462</c:v>
                </c:pt>
                <c:pt idx="170">
                  <c:v>2.8717032857329632</c:v>
                </c:pt>
                <c:pt idx="171">
                  <c:v>2.8842547395611864</c:v>
                </c:pt>
                <c:pt idx="172">
                  <c:v>2.8967963846463847</c:v>
                </c:pt>
                <c:pt idx="173">
                  <c:v>2.9093285456426323</c:v>
                </c:pt>
                <c:pt idx="174">
                  <c:v>2.9218515296264491</c:v>
                </c:pt>
                <c:pt idx="175">
                  <c:v>2.9343656266314642</c:v>
                </c:pt>
                <c:pt idx="176">
                  <c:v>2.9468711101590763</c:v>
                </c:pt>
                <c:pt idx="177">
                  <c:v>2.9593682376669497</c:v>
                </c:pt>
                <c:pt idx="178">
                  <c:v>2.9718572510369796</c:v>
                </c:pt>
                <c:pt idx="179">
                  <c:v>2.9843383770243896</c:v>
                </c:pt>
                <c:pt idx="180">
                  <c:v>2.9968118276895188</c:v>
                </c:pt>
                <c:pt idx="181">
                  <c:v>3.0092778008137788</c:v>
                </c:pt>
                <c:pt idx="182">
                  <c:v>3.0217364803012714</c:v>
                </c:pt>
                <c:pt idx="183">
                  <c:v>3.0341880365674512</c:v>
                </c:pt>
                <c:pt idx="184">
                  <c:v>3.0466326269162685</c:v>
                </c:pt>
                <c:pt idx="185">
                  <c:v>3.0590703959072321</c:v>
                </c:pt>
                <c:pt idx="186">
                  <c:v>3.0715014757137271</c:v>
                </c:pt>
                <c:pt idx="187">
                  <c:v>3.0839259864741195</c:v>
                </c:pt>
                <c:pt idx="188">
                  <c:v>3.0963440366370674</c:v>
                </c:pt>
                <c:pt idx="189">
                  <c:v>3.1087557233026915</c:v>
                </c:pt>
                <c:pt idx="190">
                  <c:v>3.1211611325611952</c:v>
                </c:pt>
                <c:pt idx="191">
                  <c:v>3.1335603398308258</c:v>
                </c:pt>
                <c:pt idx="192">
                  <c:v>3.1459534101971114</c:v>
                </c:pt>
                <c:pt idx="193">
                  <c:v>3.1583403987557404</c:v>
                </c:pt>
                <c:pt idx="194">
                  <c:v>3.1707213509615348</c:v>
                </c:pt>
                <c:pt idx="195">
                  <c:v>3.1830963029866766</c:v>
                </c:pt>
                <c:pt idx="196">
                  <c:v>3.1954652820917011</c:v>
                </c:pt>
                <c:pt idx="197">
                  <c:v>3.2078283070136986</c:v>
                </c:pt>
                <c:pt idx="198">
                  <c:v>3.2201853883771139</c:v>
                </c:pt>
                <c:pt idx="199">
                  <c:v>3.2325365291342445</c:v>
                </c:pt>
                <c:pt idx="200">
                  <c:v>3.2448817250441881</c:v>
                </c:pt>
                <c:pt idx="201">
                  <c:v>3.2572209652025341</c:v>
                </c:pt>
                <c:pt idx="202">
                  <c:v>3.26955423263811</c:v>
                </c:pt>
                <c:pt idx="203">
                  <c:v>3.281881505000289</c:v>
                </c:pt>
                <c:pt idx="204">
                  <c:v>3.2942027553711757</c:v>
                </c:pt>
                <c:pt idx="205">
                  <c:v>3.3065179532558737</c:v>
                </c:pt>
                <c:pt idx="206">
                  <c:v>3.318827065836818</c:v>
                </c:pt>
                <c:pt idx="207">
                  <c:v>3.3311300596423887</c:v>
                </c:pt>
                <c:pt idx="208">
                  <c:v>3.3434269029160921</c:v>
                </c:pt>
                <c:pt idx="209">
                  <c:v>3.3557175693038488</c:v>
                </c:pt>
                <c:pt idx="210">
                  <c:v>3.3680020444512855</c:v>
                </c:pt>
                <c:pt idx="211">
                  <c:v>3.3802803409570781</c:v>
                </c:pt>
                <c:pt idx="212">
                  <c:v>3.3925525537361096</c:v>
                </c:pt>
                <c:pt idx="213">
                  <c:v>3.4048215089765455</c:v>
                </c:pt>
                <c:pt idx="214">
                  <c:v>3.4048367675685394</c:v>
                </c:pt>
                <c:pt idx="215">
                  <c:v>3.40484107913732</c:v>
                </c:pt>
                <c:pt idx="216">
                  <c:v>3.404921946864</c:v>
                </c:pt>
                <c:pt idx="217">
                  <c:v>3.4050610611732961</c:v>
                </c:pt>
                <c:pt idx="218">
                  <c:v>3.4055541143708723</c:v>
                </c:pt>
                <c:pt idx="219">
                  <c:v>3.4056123462488004</c:v>
                </c:pt>
                <c:pt idx="220">
                  <c:v>3.4056171993755249</c:v>
                </c:pt>
                <c:pt idx="221">
                  <c:v>3.4056936748335476</c:v>
                </c:pt>
                <c:pt idx="222">
                  <c:v>3.4058203183593685</c:v>
                </c:pt>
                <c:pt idx="223">
                  <c:v>3.4061862393637687</c:v>
                </c:pt>
                <c:pt idx="224">
                  <c:v>3.4060661638935512</c:v>
                </c:pt>
                <c:pt idx="225">
                  <c:v>3.4060716892297256</c:v>
                </c:pt>
                <c:pt idx="226">
                  <c:v>3.4061444038617417</c:v>
                </c:pt>
                <c:pt idx="227">
                  <c:v>3.4062610846553465</c:v>
                </c:pt>
                <c:pt idx="228">
                  <c:v>3.4065548285526095</c:v>
                </c:pt>
                <c:pt idx="229">
                  <c:v>3.4065242536677802</c:v>
                </c:pt>
                <c:pt idx="230">
                  <c:v>3.406530646884339</c:v>
                </c:pt>
                <c:pt idx="231">
                  <c:v>3.4065999483166958</c:v>
                </c:pt>
                <c:pt idx="232">
                  <c:v>3.406708107191875</c:v>
                </c:pt>
                <c:pt idx="233">
                  <c:v>3.4069533842287338</c:v>
                </c:pt>
                <c:pt idx="234">
                  <c:v>3.4069358881113976</c:v>
                </c:pt>
                <c:pt idx="235">
                  <c:v>3.4069434708413584</c:v>
                </c:pt>
                <c:pt idx="236">
                  <c:v>3.4070096844623903</c:v>
                </c:pt>
                <c:pt idx="237">
                  <c:v>3.4071105256913254</c:v>
                </c:pt>
                <c:pt idx="238">
                  <c:v>3.407321250468252</c:v>
                </c:pt>
                <c:pt idx="239">
                  <c:v>3.4073089744497222</c:v>
                </c:pt>
                <c:pt idx="240">
                  <c:v>3.4073182789540715</c:v>
                </c:pt>
              </c:numCache>
            </c:numRef>
          </c:xVal>
          <c:yVal>
            <c:numRef>
              <c:f>Calculation!$G$61:$G$450</c:f>
              <c:numCache>
                <c:formatCode>0.000_ </c:formatCode>
                <c:ptCount val="390"/>
                <c:pt idx="0">
                  <c:v>3.5969369861416771</c:v>
                </c:pt>
                <c:pt idx="1">
                  <c:v>10.296128831810872</c:v>
                </c:pt>
                <c:pt idx="2">
                  <c:v>18.408755117401427</c:v>
                </c:pt>
                <c:pt idx="3">
                  <c:v>20.729756150186329</c:v>
                </c:pt>
                <c:pt idx="4">
                  <c:v>23.298403900844072</c:v>
                </c:pt>
                <c:pt idx="5">
                  <c:v>26.130667435014281</c:v>
                </c:pt>
                <c:pt idx="6">
                  <c:v>29.247822890021165</c:v>
                </c:pt>
                <c:pt idx="7">
                  <c:v>32.672379854468446</c:v>
                </c:pt>
                <c:pt idx="8">
                  <c:v>36.428118131278133</c:v>
                </c:pt>
                <c:pt idx="9">
                  <c:v>40.540129691511787</c:v>
                </c:pt>
                <c:pt idx="10">
                  <c:v>45.034861317705463</c:v>
                </c:pt>
                <c:pt idx="11">
                  <c:v>49.940158025271437</c:v>
                </c:pt>
                <c:pt idx="12">
                  <c:v>55.285307368010457</c:v>
                </c:pt>
                <c:pt idx="13">
                  <c:v>61.101084746757188</c:v>
                </c:pt>
                <c:pt idx="14">
                  <c:v>67.419799853987456</c:v>
                </c:pt>
                <c:pt idx="15">
                  <c:v>74.275344402406915</c:v>
                </c:pt>
                <c:pt idx="16">
                  <c:v>81.703241301982032</c:v>
                </c:pt>
                <c:pt idx="17">
                  <c:v>89.740695467812699</c:v>
                </c:pt>
                <c:pt idx="18">
                  <c:v>98.426646461463548</c:v>
                </c:pt>
                <c:pt idx="19">
                  <c:v>107.80182319074322</c:v>
                </c:pt>
                <c:pt idx="20">
                  <c:v>117.90880091807054</c:v>
                </c:pt>
                <c:pt idx="21">
                  <c:v>128.79206085598463</c:v>
                </c:pt>
                <c:pt idx="22">
                  <c:v>140.49805266096973</c:v>
                </c:pt>
                <c:pt idx="23">
                  <c:v>153.07526017366928</c:v>
                </c:pt>
                <c:pt idx="24">
                  <c:v>166.57427079613927</c:v>
                </c:pt>
                <c:pt idx="25">
                  <c:v>181.04784894612456</c:v>
                </c:pt>
                <c:pt idx="26">
                  <c:v>196.55101408525303</c:v>
                </c:pt>
                <c:pt idx="27">
                  <c:v>213.14112388447495</c:v>
                </c:pt>
                <c:pt idx="28">
                  <c:v>230.87796316765295</c:v>
                </c:pt>
                <c:pt idx="29">
                  <c:v>249.82383936545256</c:v>
                </c:pt>
                <c:pt idx="30">
                  <c:v>270.04368531856062</c:v>
                </c:pt>
                <c:pt idx="31">
                  <c:v>291.60517039675068</c:v>
                </c:pt>
                <c:pt idx="32">
                  <c:v>314.57882105102112</c:v>
                </c:pt>
                <c:pt idx="33">
                  <c:v>339.03815209536316</c:v>
                </c:pt>
                <c:pt idx="34">
                  <c:v>365.05981023119568</c:v>
                </c:pt>
                <c:pt idx="35">
                  <c:v>392.72373158656222</c:v>
                </c:pt>
                <c:pt idx="36">
                  <c:v>422.11331535623185</c:v>
                </c:pt>
                <c:pt idx="37">
                  <c:v>453.31561601094711</c:v>
                </c:pt>
                <c:pt idx="38">
                  <c:v>486.4215570108866</c:v>
                </c:pt>
                <c:pt idx="39">
                  <c:v>521.52616953262282</c:v>
                </c:pt>
                <c:pt idx="40">
                  <c:v>558.72886042958692</c:v>
                </c:pt>
                <c:pt idx="41">
                  <c:v>598.13371453065827</c:v>
                </c:pt>
                <c:pt idx="42">
                  <c:v>639.84983749114497</c:v>
                </c:pt>
                <c:pt idx="43">
                  <c:v>683.99174681258887</c:v>
                </c:pt>
                <c:pt idx="44">
                  <c:v>730.67982043144389</c:v>
                </c:pt>
                <c:pt idx="45">
                  <c:v>780.04081456912979</c:v>
                </c:pt>
                <c:pt idx="46">
                  <c:v>832.20846550377723</c:v>
                </c:pt>
                <c:pt idx="47">
                  <c:v>887.32419380687543</c:v>
                </c:pt>
                <c:pt idx="48">
                  <c:v>945.53793472116695</c:v>
                </c:pt>
                <c:pt idx="49">
                  <c:v>1007.0091252154812</c:v>
                </c:pt>
                <c:pt idx="50">
                  <c:v>1071.9078875360326</c:v>
                </c:pt>
                <c:pt idx="51">
                  <c:v>1140.4164617992028</c:v>
                </c:pt>
                <c:pt idx="52">
                  <c:v>1212.730957873109</c:v>
                </c:pt>
                <c:pt idx="53">
                  <c:v>1289.0635218083576</c:v>
                </c:pt>
                <c:pt idx="54">
                  <c:v>1369.6450480403748</c:v>
                </c:pt>
                <c:pt idx="55">
                  <c:v>1454.728621289418</c:v>
                </c:pt>
                <c:pt idx="56">
                  <c:v>1544.5939509846951</c:v>
                </c:pt>
                <c:pt idx="57">
                  <c:v>1639.5531819995288</c:v>
                </c:pt>
                <c:pt idx="58">
                  <c:v>1739.9586559551767</c:v>
                </c:pt>
                <c:pt idx="59">
                  <c:v>1846.2135065239911</c:v>
                </c:pt>
                <c:pt idx="60">
                  <c:v>1958.7864917586237</c:v>
                </c:pt>
                <c:pt idx="61">
                  <c:v>2078.233375525981</c:v>
                </c:pt>
                <c:pt idx="62">
                  <c:v>2189.2659446410762</c:v>
                </c:pt>
                <c:pt idx="63">
                  <c:v>2298.2743390912351</c:v>
                </c:pt>
                <c:pt idx="64">
                  <c:v>2404.6240529257379</c:v>
                </c:pt>
                <c:pt idx="65">
                  <c:v>2498.9420047457561</c:v>
                </c:pt>
                <c:pt idx="66">
                  <c:v>2587.7813492686801</c:v>
                </c:pt>
                <c:pt idx="67">
                  <c:v>2670.3184698536948</c:v>
                </c:pt>
                <c:pt idx="68">
                  <c:v>2756.6294705632999</c:v>
                </c:pt>
                <c:pt idx="69">
                  <c:v>2847.2329614759374</c:v>
                </c:pt>
                <c:pt idx="70">
                  <c:v>2922.3408223227789</c:v>
                </c:pt>
                <c:pt idx="71">
                  <c:v>2987.2509364589059</c:v>
                </c:pt>
                <c:pt idx="72">
                  <c:v>3040.7256611933253</c:v>
                </c:pt>
                <c:pt idx="73">
                  <c:v>3096.4084444042064</c:v>
                </c:pt>
                <c:pt idx="74">
                  <c:v>3154.6449595287409</c:v>
                </c:pt>
                <c:pt idx="75">
                  <c:v>3215.9542904706841</c:v>
                </c:pt>
                <c:pt idx="76">
                  <c:v>3281.0944611871391</c:v>
                </c:pt>
                <c:pt idx="77">
                  <c:v>3351.2536545718526</c:v>
                </c:pt>
                <c:pt idx="78">
                  <c:v>3428.4951480358009</c:v>
                </c:pt>
                <c:pt idx="79">
                  <c:v>3505.0035072340179</c:v>
                </c:pt>
                <c:pt idx="80">
                  <c:v>3579.0054601794782</c:v>
                </c:pt>
                <c:pt idx="81">
                  <c:v>3652.7800476716629</c:v>
                </c:pt>
                <c:pt idx="82">
                  <c:v>3731.2828930702772</c:v>
                </c:pt>
                <c:pt idx="83">
                  <c:v>3785.5083087933558</c:v>
                </c:pt>
                <c:pt idx="84">
                  <c:v>3806.2523717154263</c:v>
                </c:pt>
                <c:pt idx="85">
                  <c:v>3798.2349189085949</c:v>
                </c:pt>
                <c:pt idx="86">
                  <c:v>3812.5595111830758</c:v>
                </c:pt>
                <c:pt idx="87">
                  <c:v>3843.4056743308543</c:v>
                </c:pt>
                <c:pt idx="88">
                  <c:v>3860.0713136345053</c:v>
                </c:pt>
                <c:pt idx="89">
                  <c:v>3866.6548962364923</c:v>
                </c:pt>
                <c:pt idx="90">
                  <c:v>3867.8684067233403</c:v>
                </c:pt>
                <c:pt idx="91">
                  <c:v>3865.6869985594626</c:v>
                </c:pt>
                <c:pt idx="92">
                  <c:v>3861.0585301991146</c:v>
                </c:pt>
                <c:pt idx="93">
                  <c:v>3854.5410979329772</c:v>
                </c:pt>
                <c:pt idx="94">
                  <c:v>3846.5054681102642</c:v>
                </c:pt>
                <c:pt idx="95">
                  <c:v>3837.2159260062931</c:v>
                </c:pt>
                <c:pt idx="96">
                  <c:v>3826.8699438825765</c:v>
                </c:pt>
                <c:pt idx="97">
                  <c:v>3815.6202649073812</c:v>
                </c:pt>
                <c:pt idx="98">
                  <c:v>3803.5882413506365</c:v>
                </c:pt>
                <c:pt idx="99">
                  <c:v>3790.872376796312</c:v>
                </c:pt>
                <c:pt idx="100">
                  <c:v>3777.5540495662704</c:v>
                </c:pt>
                <c:pt idx="101">
                  <c:v>3763.7014890175051</c:v>
                </c:pt>
                <c:pt idx="102">
                  <c:v>3749.3726218245906</c:v>
                </c:pt>
                <c:pt idx="103">
                  <c:v>3734.6171612520411</c:v>
                </c:pt>
                <c:pt idx="104">
                  <c:v>3719.4781740649323</c:v>
                </c:pt>
                <c:pt idx="105">
                  <c:v>3703.9932777486538</c:v>
                </c:pt>
                <c:pt idx="106">
                  <c:v>3688.1955702817427</c:v>
                </c:pt>
                <c:pt idx="107">
                  <c:v>3672.1143626675303</c:v>
                </c:pt>
                <c:pt idx="108">
                  <c:v>3655.7757635056309</c:v>
                </c:pt>
                <c:pt idx="109">
                  <c:v>3639.2031508762821</c:v>
                </c:pt>
                <c:pt idx="110">
                  <c:v>3622.4175572242525</c:v>
                </c:pt>
                <c:pt idx="111">
                  <c:v>3605.4379862431397</c:v>
                </c:pt>
                <c:pt idx="112">
                  <c:v>3588.2816760165165</c:v>
                </c:pt>
                <c:pt idx="113">
                  <c:v>3570.9643192478238</c:v>
                </c:pt>
                <c:pt idx="114">
                  <c:v>3553.5002489076519</c:v>
                </c:pt>
                <c:pt idx="115">
                  <c:v>3535.9025957695067</c:v>
                </c:pt>
                <c:pt idx="116">
                  <c:v>3518.1834229156302</c:v>
                </c:pt>
                <c:pt idx="117">
                  <c:v>3500.3538412338776</c:v>
                </c:pt>
                <c:pt idx="118">
                  <c:v>3482.4241091199465</c:v>
                </c:pt>
                <c:pt idx="119">
                  <c:v>3464.4037189714309</c:v>
                </c:pt>
                <c:pt idx="120">
                  <c:v>3446.3014725715211</c:v>
                </c:pt>
                <c:pt idx="121">
                  <c:v>3428.1255470745241</c:v>
                </c:pt>
                <c:pt idx="122">
                  <c:v>3409.8835530012534</c:v>
                </c:pt>
                <c:pt idx="123">
                  <c:v>3391.5825854072109</c:v>
                </c:pt>
                <c:pt idx="124">
                  <c:v>3373.2292691905554</c:v>
                </c:pt>
                <c:pt idx="125">
                  <c:v>3354.8297993486058</c:v>
                </c:pt>
                <c:pt idx="126">
                  <c:v>3336.3899768617794</c:v>
                </c:pt>
                <c:pt idx="127">
                  <c:v>3317.9152407776701</c:v>
                </c:pt>
                <c:pt idx="128">
                  <c:v>3299.4106969815489</c:v>
                </c:pt>
                <c:pt idx="129">
                  <c:v>3280.8811440665081</c:v>
                </c:pt>
                <c:pt idx="130">
                  <c:v>3262.331096656736</c:v>
                </c:pt>
                <c:pt idx="131">
                  <c:v>3243.7648064876694</c:v>
                </c:pt>
                <c:pt idx="132">
                  <c:v>3225.1862815044233</c:v>
                </c:pt>
                <c:pt idx="133">
                  <c:v>3206.5993032037827</c:v>
                </c:pt>
                <c:pt idx="134">
                  <c:v>3188.007442415771</c:v>
                </c:pt>
                <c:pt idx="135">
                  <c:v>3169.4140736956278</c:v>
                </c:pt>
                <c:pt idx="136">
                  <c:v>3150.8223884745971</c:v>
                </c:pt>
                <c:pt idx="137">
                  <c:v>3132.2354070990364</c:v>
                </c:pt>
                <c:pt idx="138">
                  <c:v>3113.6559898731243</c:v>
                </c:pt>
                <c:pt idx="139">
                  <c:v>3095.0868472053262</c:v>
                </c:pt>
                <c:pt idx="140">
                  <c:v>3076.5305489458237</c:v>
                </c:pt>
                <c:pt idx="141">
                  <c:v>3057.9895329956757</c:v>
                </c:pt>
                <c:pt idx="142">
                  <c:v>3039.4661132554379</c:v>
                </c:pt>
                <c:pt idx="143">
                  <c:v>3020.9624869759764</c:v>
                </c:pt>
                <c:pt idx="144">
                  <c:v>3002.4807415648943</c:v>
                </c:pt>
                <c:pt idx="145">
                  <c:v>2984.0228609001656</c:v>
                </c:pt>
                <c:pt idx="146">
                  <c:v>2965.5907311928772</c:v>
                </c:pt>
                <c:pt idx="147">
                  <c:v>2947.1861464384533</c:v>
                </c:pt>
                <c:pt idx="148">
                  <c:v>2928.8108134929357</c:v>
                </c:pt>
                <c:pt idx="149">
                  <c:v>2910.4663568046417</c:v>
                </c:pt>
                <c:pt idx="150">
                  <c:v>2892.1543228310379</c:v>
                </c:pt>
                <c:pt idx="151">
                  <c:v>2873.8761841649821</c:v>
                </c:pt>
                <c:pt idx="152">
                  <c:v>2855.6333433962536</c:v>
                </c:pt>
                <c:pt idx="153">
                  <c:v>2837.4271367258198</c:v>
                </c:pt>
                <c:pt idx="154">
                  <c:v>2819.2588373560211</c:v>
                </c:pt>
                <c:pt idx="155">
                  <c:v>2801.1296586710246</c:v>
                </c:pt>
                <c:pt idx="156">
                  <c:v>2783.0407572248032</c:v>
                </c:pt>
                <c:pt idx="157">
                  <c:v>2764.9932355506212</c:v>
                </c:pt>
                <c:pt idx="158">
                  <c:v>2746.9881448054462</c:v>
                </c:pt>
                <c:pt idx="159">
                  <c:v>2729.0264872606213</c:v>
                </c:pt>
                <c:pt idx="160">
                  <c:v>2711.1092186509036</c:v>
                </c:pt>
                <c:pt idx="161">
                  <c:v>2693.2372503909278</c:v>
                </c:pt>
                <c:pt idx="162">
                  <c:v>2675.4114516687255</c:v>
                </c:pt>
                <c:pt idx="163">
                  <c:v>2657.63265142501</c:v>
                </c:pt>
                <c:pt idx="164">
                  <c:v>2639.9016402248217</c:v>
                </c:pt>
                <c:pt idx="165">
                  <c:v>2622.2191720308788</c:v>
                </c:pt>
                <c:pt idx="166">
                  <c:v>2604.5859658829845</c:v>
                </c:pt>
                <c:pt idx="167">
                  <c:v>2587.0027074907307</c:v>
                </c:pt>
                <c:pt idx="168">
                  <c:v>2569.4700507450216</c:v>
                </c:pt>
                <c:pt idx="169">
                  <c:v>2551.988619153713</c:v>
                </c:pt>
                <c:pt idx="170">
                  <c:v>2534.5590072050718</c:v>
                </c:pt>
                <c:pt idx="171">
                  <c:v>2517.1817816656835</c:v>
                </c:pt>
                <c:pt idx="172">
                  <c:v>2499.8574828144269</c:v>
                </c:pt>
                <c:pt idx="173">
                  <c:v>2482.5866256182098</c:v>
                </c:pt>
                <c:pt idx="174">
                  <c:v>2465.3697008522086</c:v>
                </c:pt>
                <c:pt idx="175">
                  <c:v>2448.2071761680199</c:v>
                </c:pt>
                <c:pt idx="176">
                  <c:v>2431.0994971130194</c:v>
                </c:pt>
                <c:pt idx="177">
                  <c:v>2414.0470881031447</c:v>
                </c:pt>
                <c:pt idx="178">
                  <c:v>2397.050353353045</c:v>
                </c:pt>
                <c:pt idx="179">
                  <c:v>2380.1096777646476</c:v>
                </c:pt>
                <c:pt idx="180">
                  <c:v>2363.2254277777001</c:v>
                </c:pt>
                <c:pt idx="181">
                  <c:v>2346.3979521835045</c:v>
                </c:pt>
                <c:pt idx="182">
                  <c:v>2329.627582904609</c:v>
                </c:pt>
                <c:pt idx="183">
                  <c:v>2312.9146357423324</c:v>
                </c:pt>
                <c:pt idx="184">
                  <c:v>2296.2594110937212</c:v>
                </c:pt>
                <c:pt idx="185">
                  <c:v>2279.6621946392679</c:v>
                </c:pt>
                <c:pt idx="186">
                  <c:v>2263.123258004422</c:v>
                </c:pt>
                <c:pt idx="187">
                  <c:v>2246.642859394748</c:v>
                </c:pt>
                <c:pt idx="188">
                  <c:v>2230.2212442077007</c:v>
                </c:pt>
                <c:pt idx="189">
                  <c:v>2213.8586456213602</c:v>
                </c:pt>
                <c:pt idx="190">
                  <c:v>2197.5552851624334</c:v>
                </c:pt>
                <c:pt idx="191">
                  <c:v>2181.3113732541019</c:v>
                </c:pt>
                <c:pt idx="192">
                  <c:v>2165.1271097459662</c:v>
                </c:pt>
                <c:pt idx="193">
                  <c:v>2149.0026844262438</c:v>
                </c:pt>
                <c:pt idx="194">
                  <c:v>2132.9382775191893</c:v>
                </c:pt>
                <c:pt idx="195">
                  <c:v>2116.9340601676263</c:v>
                </c:pt>
                <c:pt idx="196">
                  <c:v>2100.9901949033642</c:v>
                </c:pt>
                <c:pt idx="197">
                  <c:v>2085.1068361063822</c:v>
                </c:pt>
                <c:pt idx="198">
                  <c:v>2069.284130455359</c:v>
                </c:pt>
                <c:pt idx="199">
                  <c:v>2053.5222173703792</c:v>
                </c:pt>
                <c:pt idx="200">
                  <c:v>2037.8212294526531</c:v>
                </c:pt>
                <c:pt idx="201">
                  <c:v>2022.1812929219554</c:v>
                </c:pt>
                <c:pt idx="202">
                  <c:v>2006.6025280577044</c:v>
                </c:pt>
                <c:pt idx="203">
                  <c:v>1991.0850496482151</c:v>
                </c:pt>
                <c:pt idx="204">
                  <c:v>1975.6289674560762</c:v>
                </c:pt>
                <c:pt idx="205">
                  <c:v>1960.2343867095183</c:v>
                </c:pt>
                <c:pt idx="206">
                  <c:v>1944.9014086373923</c:v>
                </c:pt>
                <c:pt idx="207">
                  <c:v>1929.6301310728663</c:v>
                </c:pt>
                <c:pt idx="208">
                  <c:v>1914.420649170818</c:v>
                </c:pt>
                <c:pt idx="209">
                  <c:v>1899.2730563219507</c:v>
                </c:pt>
                <c:pt idx="210">
                  <c:v>1884.187445437673</c:v>
                </c:pt>
                <c:pt idx="211">
                  <c:v>1869.1639110366539</c:v>
                </c:pt>
                <c:pt idx="212">
                  <c:v>1854.2025535200466</c:v>
                </c:pt>
                <c:pt idx="213">
                  <c:v>1839.3034931078059</c:v>
                </c:pt>
                <c:pt idx="214">
                  <c:v>1824.4674134830577</c:v>
                </c:pt>
                <c:pt idx="215">
                  <c:v>1895.8867135420799</c:v>
                </c:pt>
                <c:pt idx="216">
                  <c:v>1882.5580008354732</c:v>
                </c:pt>
                <c:pt idx="217">
                  <c:v>1869.2591908468039</c:v>
                </c:pt>
                <c:pt idx="218">
                  <c:v>1849.2676414883729</c:v>
                </c:pt>
                <c:pt idx="219">
                  <c:v>1829.5223106833005</c:v>
                </c:pt>
                <c:pt idx="220">
                  <c:v>1898.6523363366086</c:v>
                </c:pt>
                <c:pt idx="221">
                  <c:v>1885.320179245002</c:v>
                </c:pt>
                <c:pt idx="222">
                  <c:v>1872.0080051495904</c:v>
                </c:pt>
                <c:pt idx="223">
                  <c:v>1851.9902117932243</c:v>
                </c:pt>
                <c:pt idx="224">
                  <c:v>1832.1941582423515</c:v>
                </c:pt>
                <c:pt idx="225">
                  <c:v>1901.3337264450242</c:v>
                </c:pt>
                <c:pt idx="226">
                  <c:v>1887.9529868617378</c:v>
                </c:pt>
                <c:pt idx="227">
                  <c:v>1874.6288098050438</c:v>
                </c:pt>
                <c:pt idx="228">
                  <c:v>1854.5866207268189</c:v>
                </c:pt>
                <c:pt idx="229">
                  <c:v>1834.7525949899523</c:v>
                </c:pt>
                <c:pt idx="230">
                  <c:v>1903.964807637921</c:v>
                </c:pt>
                <c:pt idx="231">
                  <c:v>1890.5916348209482</c:v>
                </c:pt>
                <c:pt idx="232">
                  <c:v>1877.2555388017038</c:v>
                </c:pt>
                <c:pt idx="233">
                  <c:v>1857.1892682930541</c:v>
                </c:pt>
                <c:pt idx="234">
                  <c:v>1837.3222731768649</c:v>
                </c:pt>
                <c:pt idx="235">
                  <c:v>1906.5964289751469</c:v>
                </c:pt>
                <c:pt idx="236">
                  <c:v>1893.2150391463706</c:v>
                </c:pt>
                <c:pt idx="237">
                  <c:v>1879.8673219817476</c:v>
                </c:pt>
                <c:pt idx="238">
                  <c:v>1859.7774287678944</c:v>
                </c:pt>
                <c:pt idx="239">
                  <c:v>1839.8806478815773</c:v>
                </c:pt>
                <c:pt idx="240">
                  <c:v>1909.2174897934108</c:v>
                </c:pt>
              </c:numCache>
            </c:numRef>
          </c:yVal>
          <c:smooth val="1"/>
          <c:extLst>
            <c:ext xmlns:c16="http://schemas.microsoft.com/office/drawing/2014/chart" uri="{C3380CC4-5D6E-409C-BE32-E72D297353CC}">
              <c16:uniqueId val="{00000000-F864-472D-939B-A05E93FE4760}"/>
            </c:ext>
          </c:extLst>
        </c:ser>
        <c:dLbls>
          <c:showLegendKey val="0"/>
          <c:showVal val="0"/>
          <c:showCatName val="0"/>
          <c:showSerName val="0"/>
          <c:showPercent val="0"/>
          <c:showBubbleSize val="0"/>
        </c:dLbls>
        <c:axId val="-1332155248"/>
        <c:axId val="-1332163952"/>
      </c:scatterChart>
      <c:valAx>
        <c:axId val="-1332155248"/>
        <c:scaling>
          <c:orientation val="minMax"/>
          <c:max val="8"/>
          <c:min val="0"/>
        </c:scaling>
        <c:delete val="0"/>
        <c:axPos val="b"/>
        <c:numFmt formatCode="0_ " sourceLinked="0"/>
        <c:majorTickMark val="out"/>
        <c:minorTickMark val="none"/>
        <c:tickLblPos val="nextTo"/>
        <c:txPr>
          <a:bodyPr/>
          <a:lstStyle/>
          <a:p>
            <a:pPr>
              <a:defRPr sz="1200"/>
            </a:pPr>
            <a:endParaRPr lang="zh-CN"/>
          </a:p>
        </c:txPr>
        <c:crossAx val="-1332163952"/>
        <c:crosses val="autoZero"/>
        <c:crossBetween val="midCat"/>
      </c:valAx>
      <c:valAx>
        <c:axId val="-1332163952"/>
        <c:scaling>
          <c:orientation val="minMax"/>
        </c:scaling>
        <c:delete val="0"/>
        <c:axPos val="l"/>
        <c:majorGridlines/>
        <c:numFmt formatCode="0_ " sourceLinked="0"/>
        <c:majorTickMark val="out"/>
        <c:minorTickMark val="none"/>
        <c:tickLblPos val="nextTo"/>
        <c:txPr>
          <a:bodyPr/>
          <a:lstStyle/>
          <a:p>
            <a:pPr>
              <a:defRPr sz="1200"/>
            </a:pPr>
            <a:endParaRPr lang="zh-CN"/>
          </a:p>
        </c:txPr>
        <c:crossAx val="-1332155248"/>
        <c:crosses val="autoZero"/>
        <c:crossBetween val="midCat"/>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a:pPr>
            <a:r>
              <a:rPr lang="en-US" altLang="zh-CN" sz="1100"/>
              <a:t>curve of reservoir storage capacity</a:t>
            </a:r>
            <a:endParaRPr lang="zh-CN" altLang="en-US" sz="1100"/>
          </a:p>
        </c:rich>
      </c:tx>
      <c:layout>
        <c:manualLayout>
          <c:xMode val="edge"/>
          <c:yMode val="edge"/>
          <c:x val="0.27104275758633573"/>
          <c:y val="3.137254901960785E-2"/>
        </c:manualLayout>
      </c:layout>
      <c:overlay val="0"/>
    </c:title>
    <c:autoTitleDeleted val="0"/>
    <c:plotArea>
      <c:layout>
        <c:manualLayout>
          <c:layoutTarget val="inner"/>
          <c:xMode val="edge"/>
          <c:yMode val="edge"/>
          <c:x val="0.17010530826503831"/>
          <c:y val="0.14680706088210196"/>
          <c:w val="0.76925919974288925"/>
          <c:h val="0.68296204081208856"/>
        </c:manualLayout>
      </c:layout>
      <c:scatterChart>
        <c:scatterStyle val="lineMarker"/>
        <c:varyColors val="0"/>
        <c:ser>
          <c:idx val="1"/>
          <c:order val="0"/>
          <c:spPr>
            <a:ln w="28575">
              <a:noFill/>
            </a:ln>
          </c:spPr>
          <c:trendline>
            <c:trendlineType val="poly"/>
            <c:order val="2"/>
            <c:dispRSqr val="0"/>
            <c:dispEq val="0"/>
          </c:trendline>
          <c:xVal>
            <c:numRef>
              <c:f>'W.H curve'!$C$8:$C$10</c:f>
              <c:numCache>
                <c:formatCode>0.00_);[Red]\(0.00\)</c:formatCode>
                <c:ptCount val="3"/>
                <c:pt idx="0">
                  <c:v>1480.65</c:v>
                </c:pt>
                <c:pt idx="1">
                  <c:v>1494.65</c:v>
                </c:pt>
                <c:pt idx="2">
                  <c:v>1497.65</c:v>
                </c:pt>
              </c:numCache>
            </c:numRef>
          </c:xVal>
          <c:yVal>
            <c:numRef>
              <c:f>'W.H curve'!$E$8:$E$10</c:f>
              <c:numCache>
                <c:formatCode>0.00_);[Red]\(0.00\)</c:formatCode>
                <c:ptCount val="3"/>
                <c:pt idx="0">
                  <c:v>0.2858</c:v>
                </c:pt>
                <c:pt idx="1">
                  <c:v>5.3708</c:v>
                </c:pt>
                <c:pt idx="2">
                  <c:v>7.3217999999999996</c:v>
                </c:pt>
              </c:numCache>
            </c:numRef>
          </c:yVal>
          <c:smooth val="0"/>
          <c:extLst>
            <c:ext xmlns:c16="http://schemas.microsoft.com/office/drawing/2014/chart" uri="{C3380CC4-5D6E-409C-BE32-E72D297353CC}">
              <c16:uniqueId val="{00000000-3E0F-436F-A789-B39FFD09A121}"/>
            </c:ext>
          </c:extLst>
        </c:ser>
        <c:dLbls>
          <c:showLegendKey val="0"/>
          <c:showVal val="0"/>
          <c:showCatName val="0"/>
          <c:showSerName val="0"/>
          <c:showPercent val="0"/>
          <c:showBubbleSize val="0"/>
        </c:dLbls>
        <c:axId val="-1332163408"/>
        <c:axId val="-1332154704"/>
      </c:scatterChart>
      <c:valAx>
        <c:axId val="-1332163408"/>
        <c:scaling>
          <c:orientation val="minMax"/>
        </c:scaling>
        <c:delete val="0"/>
        <c:axPos val="b"/>
        <c:numFmt formatCode="0.00_);[Red]\(0.00\)" sourceLinked="1"/>
        <c:majorTickMark val="out"/>
        <c:minorTickMark val="none"/>
        <c:tickLblPos val="nextTo"/>
        <c:txPr>
          <a:bodyPr rot="0"/>
          <a:lstStyle/>
          <a:p>
            <a:pPr>
              <a:defRPr lang="en-US"/>
            </a:pPr>
            <a:endParaRPr lang="zh-CN"/>
          </a:p>
        </c:txPr>
        <c:crossAx val="-1332154704"/>
        <c:crosses val="autoZero"/>
        <c:crossBetween val="midCat"/>
      </c:valAx>
      <c:valAx>
        <c:axId val="-1332154704"/>
        <c:scaling>
          <c:orientation val="minMax"/>
        </c:scaling>
        <c:delete val="0"/>
        <c:axPos val="l"/>
        <c:numFmt formatCode="0.00_);[Red]\(0.00\)" sourceLinked="1"/>
        <c:majorTickMark val="out"/>
        <c:minorTickMark val="none"/>
        <c:tickLblPos val="nextTo"/>
        <c:txPr>
          <a:bodyPr/>
          <a:lstStyle/>
          <a:p>
            <a:pPr>
              <a:defRPr lang="en-US" sz="900"/>
            </a:pPr>
            <a:endParaRPr lang="zh-CN"/>
          </a:p>
        </c:txPr>
        <c:crossAx val="-1332163408"/>
        <c:crosses val="autoZero"/>
        <c:crossBetween val="midCat"/>
      </c:valAx>
    </c:plotArea>
    <c:legend>
      <c:legendPos val="r"/>
      <c:layout>
        <c:manualLayout>
          <c:xMode val="edge"/>
          <c:yMode val="edge"/>
          <c:x val="0.61233874337136429"/>
          <c:y val="0.58572455801515377"/>
          <c:w val="0.34327985739750488"/>
          <c:h val="0.15049056603773694"/>
        </c:manualLayout>
      </c:layout>
      <c:overlay val="0"/>
      <c:txPr>
        <a:bodyPr/>
        <a:lstStyle/>
        <a:p>
          <a:pPr>
            <a:defRPr lang="en-US" sz="800"/>
          </a:pPr>
          <a:endParaRPr lang="zh-CN"/>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lang="en-US"/>
            </a:pPr>
            <a:r>
              <a:rPr lang="en-US" altLang="zh-CN" sz="1200" b="0">
                <a:latin typeface="Times New Roman" panose="02020603050405020304" pitchFamily="18" charset="0"/>
                <a:cs typeface="Times New Roman" panose="02020603050405020304" pitchFamily="18" charset="0"/>
              </a:rPr>
              <a:t>curve of </a:t>
            </a:r>
            <a:r>
              <a:rPr lang="en-US" altLang="zh-CN" sz="1200" b="0" i="0" u="none" strike="noStrike" baseline="0">
                <a:effectLst/>
                <a:latin typeface="Times New Roman" panose="02020603050405020304" pitchFamily="18" charset="0"/>
                <a:cs typeface="Times New Roman" panose="02020603050405020304" pitchFamily="18" charset="0"/>
              </a:rPr>
              <a:t>erosion rate VS. Shear stress</a:t>
            </a:r>
            <a:endParaRPr lang="zh-CN" altLang="en-US" sz="1200" b="0">
              <a:latin typeface="Times New Roman" panose="02020603050405020304" pitchFamily="18" charset="0"/>
              <a:cs typeface="Times New Roman" panose="02020603050405020304" pitchFamily="18" charset="0"/>
            </a:endParaRPr>
          </a:p>
        </c:rich>
      </c:tx>
      <c:layout>
        <c:manualLayout>
          <c:xMode val="edge"/>
          <c:yMode val="edge"/>
          <c:x val="0.27104275758633573"/>
          <c:y val="3.137254901960785E-2"/>
        </c:manualLayout>
      </c:layout>
      <c:overlay val="0"/>
    </c:title>
    <c:autoTitleDeleted val="0"/>
    <c:plotArea>
      <c:layout>
        <c:manualLayout>
          <c:layoutTarget val="inner"/>
          <c:xMode val="edge"/>
          <c:yMode val="edge"/>
          <c:x val="0.17010530826503831"/>
          <c:y val="0.14680706088210196"/>
          <c:w val="0.76925919974288925"/>
          <c:h val="0.68296204081208856"/>
        </c:manualLayout>
      </c:layout>
      <c:scatterChart>
        <c:scatterStyle val="lineMarker"/>
        <c:varyColors val="0"/>
        <c:ser>
          <c:idx val="1"/>
          <c:order val="0"/>
          <c:spPr>
            <a:ln w="28575">
              <a:noFill/>
            </a:ln>
          </c:spPr>
          <c:trendline>
            <c:trendlineType val="log"/>
            <c:dispRSqr val="0"/>
            <c:dispEq val="0"/>
          </c:trendline>
          <c:xVal>
            <c:numRef>
              <c:f>'erosion Calculation'!$E$8:$E$18</c:f>
              <c:numCache>
                <c:formatCode>0.00_);[Red]\(0.00\)</c:formatCode>
                <c:ptCount val="11"/>
                <c:pt idx="0">
                  <c:v>164.83599999999998</c:v>
                </c:pt>
                <c:pt idx="1">
                  <c:v>275.62499999999989</c:v>
                </c:pt>
                <c:pt idx="2">
                  <c:v>405.76900000000001</c:v>
                </c:pt>
                <c:pt idx="3">
                  <c:v>529.98400000000004</c:v>
                </c:pt>
                <c:pt idx="4" formatCode="General">
                  <c:v>840.88899999999978</c:v>
                </c:pt>
                <c:pt idx="5">
                  <c:v>1177.2249999999999</c:v>
                </c:pt>
                <c:pt idx="6">
                  <c:v>1677.0249999999996</c:v>
                </c:pt>
                <c:pt idx="7">
                  <c:v>2019.2409999999995</c:v>
                </c:pt>
                <c:pt idx="8">
                  <c:v>2637.3759999999997</c:v>
                </c:pt>
                <c:pt idx="9">
                  <c:v>3519.3759999999997</c:v>
                </c:pt>
                <c:pt idx="10">
                  <c:v>4409.9999999999982</c:v>
                </c:pt>
              </c:numCache>
            </c:numRef>
          </c:xVal>
          <c:yVal>
            <c:numRef>
              <c:f>'erosion Calculation'!$C$8:$C$18</c:f>
              <c:numCache>
                <c:formatCode>0.00_);[Red]\(0.00\)</c:formatCode>
                <c:ptCount val="11"/>
                <c:pt idx="0">
                  <c:v>0.42735042735042733</c:v>
                </c:pt>
                <c:pt idx="1">
                  <c:v>2.2222222222222223</c:v>
                </c:pt>
                <c:pt idx="2">
                  <c:v>6.666666666666667</c:v>
                </c:pt>
                <c:pt idx="3">
                  <c:v>16.416666666666668</c:v>
                </c:pt>
                <c:pt idx="4" formatCode="General">
                  <c:v>85.625</c:v>
                </c:pt>
                <c:pt idx="5">
                  <c:v>137.29166666666669</c:v>
                </c:pt>
                <c:pt idx="6" formatCode="General">
                  <c:v>333.05555555555554</c:v>
                </c:pt>
                <c:pt idx="7">
                  <c:v>552.25</c:v>
                </c:pt>
                <c:pt idx="8" formatCode="General">
                  <c:v>1211.6666666666667</c:v>
                </c:pt>
                <c:pt idx="9" formatCode="General">
                  <c:v>2451.6666666666665</c:v>
                </c:pt>
                <c:pt idx="10" formatCode="General">
                  <c:v>3229.3333333333335</c:v>
                </c:pt>
              </c:numCache>
            </c:numRef>
          </c:yVal>
          <c:smooth val="0"/>
          <c:extLst>
            <c:ext xmlns:c16="http://schemas.microsoft.com/office/drawing/2014/chart" uri="{C3380CC4-5D6E-409C-BE32-E72D297353CC}">
              <c16:uniqueId val="{00000000-3E0F-436F-A789-B39FFD09A121}"/>
            </c:ext>
          </c:extLst>
        </c:ser>
        <c:dLbls>
          <c:showLegendKey val="0"/>
          <c:showVal val="0"/>
          <c:showCatName val="0"/>
          <c:showSerName val="0"/>
          <c:showPercent val="0"/>
          <c:showBubbleSize val="0"/>
        </c:dLbls>
        <c:axId val="-1332153072"/>
        <c:axId val="-1332152528"/>
      </c:scatterChart>
      <c:valAx>
        <c:axId val="-1332153072"/>
        <c:scaling>
          <c:orientation val="minMax"/>
          <c:max val="6000"/>
        </c:scaling>
        <c:delete val="0"/>
        <c:axPos val="b"/>
        <c:title>
          <c:tx>
            <c:rich>
              <a:bodyPr/>
              <a:lstStyle/>
              <a:p>
                <a:pPr>
                  <a:defRPr/>
                </a:pPr>
                <a:r>
                  <a:rPr lang="zh-CN" altLang="zh-CN" sz="1000" b="0" i="0" baseline="0">
                    <a:effectLst/>
                    <a:latin typeface="Times New Roman" panose="02020603050405020304" pitchFamily="18" charset="0"/>
                    <a:cs typeface="Times New Roman" panose="02020603050405020304" pitchFamily="18" charset="0"/>
                  </a:rPr>
                  <a:t>剪应力（</a:t>
                </a:r>
                <a:r>
                  <a:rPr lang="en-US" altLang="zh-CN" sz="1000" b="0" i="0" baseline="0">
                    <a:effectLst/>
                    <a:latin typeface="Times New Roman" panose="02020603050405020304" pitchFamily="18" charset="0"/>
                    <a:cs typeface="Times New Roman" panose="02020603050405020304" pitchFamily="18" charset="0"/>
                  </a:rPr>
                  <a:t>Pa</a:t>
                </a:r>
                <a:r>
                  <a:rPr lang="zh-CN" altLang="zh-CN" sz="1800" b="0" i="0" baseline="0">
                    <a:effectLst/>
                  </a:rPr>
                  <a:t>）</a:t>
                </a:r>
                <a:endParaRPr lang="zh-CN" altLang="zh-CN">
                  <a:effectLst/>
                </a:endParaRPr>
              </a:p>
            </c:rich>
          </c:tx>
          <c:layout>
            <c:manualLayout>
              <c:xMode val="edge"/>
              <c:yMode val="edge"/>
              <c:x val="0.40121377684932236"/>
              <c:y val="0.92298435619735264"/>
            </c:manualLayout>
          </c:layout>
          <c:overlay val="0"/>
        </c:title>
        <c:numFmt formatCode="0.00_);[Red]\(0.00\)" sourceLinked="1"/>
        <c:majorTickMark val="out"/>
        <c:minorTickMark val="none"/>
        <c:tickLblPos val="nextTo"/>
        <c:txPr>
          <a:bodyPr rot="0"/>
          <a:lstStyle/>
          <a:p>
            <a:pPr>
              <a:defRPr lang="en-US"/>
            </a:pPr>
            <a:endParaRPr lang="zh-CN"/>
          </a:p>
        </c:txPr>
        <c:crossAx val="-1332152528"/>
        <c:crosses val="autoZero"/>
        <c:crossBetween val="midCat"/>
      </c:valAx>
      <c:valAx>
        <c:axId val="-1332152528"/>
        <c:scaling>
          <c:orientation val="minMax"/>
        </c:scaling>
        <c:delete val="0"/>
        <c:axPos val="l"/>
        <c:title>
          <c:tx>
            <c:rich>
              <a:bodyPr rot="-5400000" vert="horz"/>
              <a:lstStyle/>
              <a:p>
                <a:pPr>
                  <a:defRPr/>
                </a:pPr>
                <a:r>
                  <a:rPr lang="zh-CN" altLang="en-US" b="0">
                    <a:latin typeface="Times New Roman" panose="02020603050405020304" pitchFamily="18" charset="0"/>
                    <a:cs typeface="Times New Roman" panose="02020603050405020304" pitchFamily="18" charset="0"/>
                  </a:rPr>
                  <a:t>冲蚀率（</a:t>
                </a:r>
                <a:r>
                  <a:rPr lang="en-US" altLang="zh-CN" b="0">
                    <a:latin typeface="Times New Roman" panose="02020603050405020304" pitchFamily="18" charset="0"/>
                    <a:cs typeface="Times New Roman" panose="02020603050405020304" pitchFamily="18" charset="0"/>
                  </a:rPr>
                  <a:t>10</a:t>
                </a:r>
                <a:r>
                  <a:rPr lang="en-US" altLang="zh-CN" b="0" baseline="30000">
                    <a:latin typeface="Times New Roman" panose="02020603050405020304" pitchFamily="18" charset="0"/>
                    <a:cs typeface="Times New Roman" panose="02020603050405020304" pitchFamily="18" charset="0"/>
                  </a:rPr>
                  <a:t>-3</a:t>
                </a:r>
                <a:r>
                  <a:rPr lang="en-US" altLang="zh-CN" b="0">
                    <a:latin typeface="Times New Roman" panose="02020603050405020304" pitchFamily="18" charset="0"/>
                    <a:cs typeface="Times New Roman" panose="02020603050405020304" pitchFamily="18" charset="0"/>
                  </a:rPr>
                  <a:t>mm/s</a:t>
                </a:r>
                <a:r>
                  <a:rPr lang="zh-CN" altLang="en-US" b="0">
                    <a:latin typeface="Times New Roman" panose="02020603050405020304" pitchFamily="18" charset="0"/>
                    <a:cs typeface="Times New Roman" panose="02020603050405020304" pitchFamily="18" charset="0"/>
                  </a:rPr>
                  <a:t>）</a:t>
                </a:r>
              </a:p>
            </c:rich>
          </c:tx>
          <c:layout>
            <c:manualLayout>
              <c:xMode val="edge"/>
              <c:yMode val="edge"/>
              <c:x val="1.3946970914349989E-2"/>
              <c:y val="0.27041776817608987"/>
            </c:manualLayout>
          </c:layout>
          <c:overlay val="0"/>
        </c:title>
        <c:numFmt formatCode="0.00_);[Red]\(0.00\)" sourceLinked="1"/>
        <c:majorTickMark val="out"/>
        <c:minorTickMark val="none"/>
        <c:tickLblPos val="nextTo"/>
        <c:txPr>
          <a:bodyPr/>
          <a:lstStyle/>
          <a:p>
            <a:pPr>
              <a:defRPr lang="en-US" sz="900"/>
            </a:pPr>
            <a:endParaRPr lang="zh-CN"/>
          </a:p>
        </c:txPr>
        <c:crossAx val="-1332153072"/>
        <c:crosses val="autoZero"/>
        <c:crossBetween val="midCat"/>
      </c:valAx>
    </c:plotArea>
    <c:legend>
      <c:legendPos val="r"/>
      <c:layout>
        <c:manualLayout>
          <c:xMode val="edge"/>
          <c:yMode val="edge"/>
          <c:x val="0.61233874337136429"/>
          <c:y val="0.58572455801515377"/>
          <c:w val="0.34327985739750488"/>
          <c:h val="0.15049056603773694"/>
        </c:manualLayout>
      </c:layout>
      <c:overlay val="0"/>
      <c:txPr>
        <a:bodyPr/>
        <a:lstStyle/>
        <a:p>
          <a:pPr>
            <a:defRPr lang="en-US" sz="800"/>
          </a:pPr>
          <a:endParaRPr lang="zh-CN"/>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8.5729368236501763E-2"/>
          <c:y val="5.6799181803052184E-2"/>
          <c:w val="0.84514512136750963"/>
          <c:h val="0.83747866456634401"/>
        </c:manualLayout>
      </c:layout>
      <c:scatterChart>
        <c:scatterStyle val="lineMarker"/>
        <c:varyColors val="0"/>
        <c:ser>
          <c:idx val="0"/>
          <c:order val="0"/>
          <c:tx>
            <c:v>双曲线模型</c:v>
          </c:tx>
          <c:spPr>
            <a:ln>
              <a:solidFill>
                <a:sysClr val="windowText" lastClr="000000"/>
              </a:solidFill>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model'!$C$29:$C$55</c:f>
              <c:numCache>
                <c:formatCode>General</c:formatCode>
                <c:ptCount val="27"/>
                <c:pt idx="0">
                  <c:v>0.90877696795652396</c:v>
                </c:pt>
                <c:pt idx="1">
                  <c:v>170.06802721088434</c:v>
                </c:pt>
                <c:pt idx="2">
                  <c:v>319.4888178913738</c:v>
                </c:pt>
                <c:pt idx="3">
                  <c:v>451.80722891566262</c:v>
                </c:pt>
                <c:pt idx="4">
                  <c:v>569.80056980056975</c:v>
                </c:pt>
                <c:pt idx="5">
                  <c:v>675.67567567567573</c:v>
                </c:pt>
                <c:pt idx="6">
                  <c:v>771.20822622107971</c:v>
                </c:pt>
                <c:pt idx="7">
                  <c:v>857.84313725490188</c:v>
                </c:pt>
                <c:pt idx="8">
                  <c:v>936.76814988290391</c:v>
                </c:pt>
                <c:pt idx="9">
                  <c:v>1008.9686098654707</c:v>
                </c:pt>
                <c:pt idx="10">
                  <c:v>1075.2688172043011</c:v>
                </c:pt>
                <c:pt idx="11">
                  <c:v>1136.3636363636363</c:v>
                </c:pt>
                <c:pt idx="12">
                  <c:v>1192.8429423459245</c:v>
                </c:pt>
                <c:pt idx="13">
                  <c:v>1245.2107279693487</c:v>
                </c:pt>
                <c:pt idx="14">
                  <c:v>1293.9001848428834</c:v>
                </c:pt>
                <c:pt idx="15">
                  <c:v>1339.2857142857142</c:v>
                </c:pt>
                <c:pt idx="16">
                  <c:v>1381.692573402418</c:v>
                </c:pt>
                <c:pt idx="17">
                  <c:v>1421.4046822742473</c:v>
                </c:pt>
                <c:pt idx="18">
                  <c:v>1458.6709886547812</c:v>
                </c:pt>
                <c:pt idx="19">
                  <c:v>1493.7106918238992</c:v>
                </c:pt>
                <c:pt idx="20">
                  <c:v>1526.7175572519084</c:v>
                </c:pt>
                <c:pt idx="21">
                  <c:v>1557.8635014836793</c:v>
                </c:pt>
                <c:pt idx="22">
                  <c:v>1587.3015873015872</c:v>
                </c:pt>
                <c:pt idx="23">
                  <c:v>1615.1685393258429</c:v>
                </c:pt>
                <c:pt idx="24">
                  <c:v>1641.5868673050613</c:v>
                </c:pt>
                <c:pt idx="25">
                  <c:v>1666.6666666666667</c:v>
                </c:pt>
                <c:pt idx="26">
                  <c:v>1690.5071521456434</c:v>
                </c:pt>
              </c:numCache>
            </c:numRef>
          </c:yVal>
          <c:smooth val="0"/>
          <c:extLst>
            <c:ext xmlns:c16="http://schemas.microsoft.com/office/drawing/2014/chart" uri="{C3380CC4-5D6E-409C-BE32-E72D297353CC}">
              <c16:uniqueId val="{00000000-9A48-4A08-AC07-F9131F99F4C3}"/>
            </c:ext>
          </c:extLst>
        </c:ser>
        <c:ser>
          <c:idx val="1"/>
          <c:order val="1"/>
          <c:tx>
            <c:v>渐近线 y=1/b</c:v>
          </c:tx>
          <c:spPr>
            <a:ln w="22225">
              <a:solidFill>
                <a:schemeClr val="tx1"/>
              </a:solidFill>
              <a:prstDash val="dash"/>
            </a:ln>
          </c:spPr>
          <c:marker>
            <c:symbol val="none"/>
          </c:marker>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model'!$D$29:$D$55</c:f>
              <c:numCache>
                <c:formatCode>General</c:formatCode>
                <c:ptCount val="27"/>
                <c:pt idx="0">
                  <c:v>2631.5789473684208</c:v>
                </c:pt>
                <c:pt idx="1">
                  <c:v>2631.5789473684208</c:v>
                </c:pt>
                <c:pt idx="2">
                  <c:v>2631.5789473684208</c:v>
                </c:pt>
                <c:pt idx="3">
                  <c:v>2631.5789473684208</c:v>
                </c:pt>
                <c:pt idx="4">
                  <c:v>2631.5789473684208</c:v>
                </c:pt>
                <c:pt idx="5">
                  <c:v>2631.5789473684208</c:v>
                </c:pt>
                <c:pt idx="6">
                  <c:v>2631.5789473684208</c:v>
                </c:pt>
                <c:pt idx="7">
                  <c:v>2631.5789473684208</c:v>
                </c:pt>
                <c:pt idx="8">
                  <c:v>2631.5789473684208</c:v>
                </c:pt>
                <c:pt idx="9">
                  <c:v>2631.5789473684208</c:v>
                </c:pt>
                <c:pt idx="10">
                  <c:v>2631.5789473684208</c:v>
                </c:pt>
                <c:pt idx="11">
                  <c:v>2631.5789473684208</c:v>
                </c:pt>
                <c:pt idx="12">
                  <c:v>2631.5789473684208</c:v>
                </c:pt>
                <c:pt idx="13">
                  <c:v>2631.5789473684208</c:v>
                </c:pt>
                <c:pt idx="14">
                  <c:v>2631.5789473684208</c:v>
                </c:pt>
                <c:pt idx="15">
                  <c:v>2631.5789473684208</c:v>
                </c:pt>
                <c:pt idx="16">
                  <c:v>2631.5789473684208</c:v>
                </c:pt>
                <c:pt idx="17">
                  <c:v>2631.5789473684208</c:v>
                </c:pt>
                <c:pt idx="18">
                  <c:v>2631.5789473684208</c:v>
                </c:pt>
                <c:pt idx="19">
                  <c:v>2631.5789473684208</c:v>
                </c:pt>
                <c:pt idx="20">
                  <c:v>2631.5789473684208</c:v>
                </c:pt>
                <c:pt idx="21">
                  <c:v>2631.5789473684208</c:v>
                </c:pt>
                <c:pt idx="22">
                  <c:v>2631.5789473684208</c:v>
                </c:pt>
                <c:pt idx="23">
                  <c:v>2631.5789473684208</c:v>
                </c:pt>
                <c:pt idx="24">
                  <c:v>2631.5789473684208</c:v>
                </c:pt>
                <c:pt idx="25">
                  <c:v>2631.5789473684208</c:v>
                </c:pt>
                <c:pt idx="26">
                  <c:v>2631.5789473684208</c:v>
                </c:pt>
              </c:numCache>
            </c:numRef>
          </c:yVal>
          <c:smooth val="0"/>
          <c:extLst>
            <c:ext xmlns:c16="http://schemas.microsoft.com/office/drawing/2014/chart" uri="{C3380CC4-5D6E-409C-BE32-E72D297353CC}">
              <c16:uniqueId val="{00000001-9A48-4A08-AC07-F9131F99F4C3}"/>
            </c:ext>
          </c:extLst>
        </c:ser>
        <c:ser>
          <c:idx val="2"/>
          <c:order val="2"/>
          <c:tx>
            <c:v>切线y=x/a</c:v>
          </c:tx>
          <c:spPr>
            <a:ln w="22225">
              <a:solidFill>
                <a:sysClr val="windowText" lastClr="000000"/>
              </a:solidFill>
              <a:prstDash val="sysDash"/>
            </a:ln>
          </c:spPr>
          <c:marker>
            <c:symbol val="none"/>
          </c:marker>
          <c:xVal>
            <c:numRef>
              <c:f>'erosion model'!$B$29:$B$41</c:f>
              <c:numCache>
                <c:formatCode>0.00_ </c:formatCode>
                <c:ptCount val="13"/>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numCache>
            </c:numRef>
          </c:xVal>
          <c:yVal>
            <c:numRef>
              <c:f>'erosion model'!$E$29:$E$41</c:f>
              <c:numCache>
                <c:formatCode>General</c:formatCode>
                <c:ptCount val="13"/>
                <c:pt idx="0">
                  <c:v>0.90909090909090906</c:v>
                </c:pt>
                <c:pt idx="1">
                  <c:v>181.81818181818181</c:v>
                </c:pt>
                <c:pt idx="2">
                  <c:v>363.63636363636363</c:v>
                </c:pt>
                <c:pt idx="3">
                  <c:v>545.45454545454538</c:v>
                </c:pt>
                <c:pt idx="4">
                  <c:v>727.27272727272725</c:v>
                </c:pt>
                <c:pt idx="5">
                  <c:v>909.09090909090901</c:v>
                </c:pt>
                <c:pt idx="6">
                  <c:v>1090.9090909090908</c:v>
                </c:pt>
                <c:pt idx="7">
                  <c:v>1272.7272727272725</c:v>
                </c:pt>
                <c:pt idx="8">
                  <c:v>1454.5454545454545</c:v>
                </c:pt>
                <c:pt idx="9">
                  <c:v>1636.3636363636363</c:v>
                </c:pt>
                <c:pt idx="10">
                  <c:v>1818.181818181818</c:v>
                </c:pt>
                <c:pt idx="11">
                  <c:v>1999.9999999999998</c:v>
                </c:pt>
                <c:pt idx="12">
                  <c:v>2181.8181818181815</c:v>
                </c:pt>
              </c:numCache>
            </c:numRef>
          </c:yVal>
          <c:smooth val="0"/>
          <c:extLst>
            <c:ext xmlns:c16="http://schemas.microsoft.com/office/drawing/2014/chart" uri="{C3380CC4-5D6E-409C-BE32-E72D297353CC}">
              <c16:uniqueId val="{00000002-9A48-4A08-AC07-F9131F99F4C3}"/>
            </c:ext>
          </c:extLst>
        </c:ser>
        <c:dLbls>
          <c:showLegendKey val="0"/>
          <c:showVal val="0"/>
          <c:showCatName val="0"/>
          <c:showSerName val="0"/>
          <c:showPercent val="0"/>
          <c:showBubbleSize val="0"/>
        </c:dLbls>
        <c:axId val="-1332166128"/>
        <c:axId val="-1332165040"/>
      </c:scatterChart>
      <c:valAx>
        <c:axId val="-1332166128"/>
        <c:scaling>
          <c:orientation val="minMax"/>
        </c:scaling>
        <c:delete val="0"/>
        <c:axPos val="b"/>
        <c:numFmt formatCode="General" sourceLinked="1"/>
        <c:majorTickMark val="out"/>
        <c:minorTickMark val="none"/>
        <c:tickLblPos val="nextTo"/>
        <c:txPr>
          <a:bodyPr rot="0"/>
          <a:lstStyle/>
          <a:p>
            <a:pPr>
              <a:defRPr lang="en-US" sz="100"/>
            </a:pPr>
            <a:endParaRPr lang="zh-CN"/>
          </a:p>
        </c:txPr>
        <c:crossAx val="-1332165040"/>
        <c:crosses val="autoZero"/>
        <c:crossBetween val="midCat"/>
      </c:valAx>
      <c:valAx>
        <c:axId val="-1332165040"/>
        <c:scaling>
          <c:orientation val="minMax"/>
        </c:scaling>
        <c:delete val="0"/>
        <c:axPos val="l"/>
        <c:numFmt formatCode="General" sourceLinked="1"/>
        <c:majorTickMark val="out"/>
        <c:minorTickMark val="none"/>
        <c:tickLblPos val="nextTo"/>
        <c:txPr>
          <a:bodyPr/>
          <a:lstStyle/>
          <a:p>
            <a:pPr>
              <a:defRPr lang="en-US" sz="100"/>
            </a:pPr>
            <a:endParaRPr lang="zh-CN"/>
          </a:p>
        </c:txPr>
        <c:crossAx val="-1332166128"/>
        <c:crosses val="autoZero"/>
        <c:crossBetween val="midCat"/>
      </c:valAx>
    </c:plotArea>
    <c:legend>
      <c:legendPos val="r"/>
      <c:layout>
        <c:manualLayout>
          <c:xMode val="edge"/>
          <c:yMode val="edge"/>
          <c:x val="0.76515678883488469"/>
          <c:y val="1.4263231797755163E-2"/>
          <c:w val="0.23280697516674495"/>
          <c:h val="0.21350363788667376"/>
        </c:manualLayout>
      </c:layout>
      <c:overlay val="0"/>
      <c:spPr>
        <a:ln>
          <a:solidFill>
            <a:sysClr val="windowText" lastClr="000000"/>
          </a:solidFill>
        </a:ln>
      </c:spPr>
      <c:txPr>
        <a:bodyPr/>
        <a:lstStyle/>
        <a:p>
          <a:pPr>
            <a:defRPr lang="en-US" sz="800"/>
          </a:pPr>
          <a:endParaRPr lang="zh-CN"/>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userShapes r:id="rId1"/>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9.5407261592300965E-2"/>
          <c:y val="8.060421426758059E-2"/>
          <c:w val="0.87122462817149038"/>
          <c:h val="0.82426143808014762"/>
        </c:manualLayout>
      </c:layout>
      <c:scatterChart>
        <c:scatterStyle val="smoothMarker"/>
        <c:varyColors val="0"/>
        <c:ser>
          <c:idx val="0"/>
          <c:order val="0"/>
          <c:tx>
            <c:v>指数模型</c:v>
          </c:tx>
          <c:spPr>
            <a:ln>
              <a:solidFill>
                <a:sysClr val="windowText" lastClr="000000"/>
              </a:solidFill>
            </a:ln>
          </c:spPr>
          <c:marker>
            <c:symbol val="none"/>
          </c:marker>
          <c:trendline>
            <c:trendlineType val="power"/>
            <c:dispRSqr val="0"/>
            <c:dispEq val="0"/>
          </c:trendline>
          <c:xVal>
            <c:numRef>
              <c:f>'erosion model'!$B$29:$B$55</c:f>
              <c:numCache>
                <c:formatCode>0.00_ </c:formatCode>
                <c:ptCount val="27"/>
                <c:pt idx="0" formatCode="General">
                  <c:v>1</c:v>
                </c:pt>
                <c:pt idx="1">
                  <c:v>200</c:v>
                </c:pt>
                <c:pt idx="2">
                  <c:v>400</c:v>
                </c:pt>
                <c:pt idx="3">
                  <c:v>600</c:v>
                </c:pt>
                <c:pt idx="4">
                  <c:v>800</c:v>
                </c:pt>
                <c:pt idx="5">
                  <c:v>1000</c:v>
                </c:pt>
                <c:pt idx="6">
                  <c:v>1200</c:v>
                </c:pt>
                <c:pt idx="7">
                  <c:v>1400</c:v>
                </c:pt>
                <c:pt idx="8">
                  <c:v>1600</c:v>
                </c:pt>
                <c:pt idx="9">
                  <c:v>1800</c:v>
                </c:pt>
                <c:pt idx="10">
                  <c:v>2000</c:v>
                </c:pt>
                <c:pt idx="11">
                  <c:v>2200</c:v>
                </c:pt>
                <c:pt idx="12">
                  <c:v>2400</c:v>
                </c:pt>
                <c:pt idx="13">
                  <c:v>2600</c:v>
                </c:pt>
                <c:pt idx="14">
                  <c:v>2800</c:v>
                </c:pt>
                <c:pt idx="15">
                  <c:v>3000</c:v>
                </c:pt>
                <c:pt idx="16">
                  <c:v>3200</c:v>
                </c:pt>
                <c:pt idx="17">
                  <c:v>3400</c:v>
                </c:pt>
                <c:pt idx="18">
                  <c:v>3600</c:v>
                </c:pt>
                <c:pt idx="19">
                  <c:v>3800</c:v>
                </c:pt>
                <c:pt idx="20">
                  <c:v>4000</c:v>
                </c:pt>
                <c:pt idx="21">
                  <c:v>4200</c:v>
                </c:pt>
                <c:pt idx="22">
                  <c:v>4400</c:v>
                </c:pt>
                <c:pt idx="23">
                  <c:v>4600</c:v>
                </c:pt>
                <c:pt idx="24">
                  <c:v>4800</c:v>
                </c:pt>
                <c:pt idx="25">
                  <c:v>5000</c:v>
                </c:pt>
                <c:pt idx="26">
                  <c:v>5200</c:v>
                </c:pt>
              </c:numCache>
            </c:numRef>
          </c:xVal>
          <c:yVal>
            <c:numRef>
              <c:f>'erosion model'!$F$29:$F$55</c:f>
              <c:numCache>
                <c:formatCode>General</c:formatCode>
                <c:ptCount val="27"/>
                <c:pt idx="0">
                  <c:v>8</c:v>
                </c:pt>
                <c:pt idx="1">
                  <c:v>7842.0387030318398</c:v>
                </c:pt>
                <c:pt idx="2">
                  <c:v>19309.364276944529</c:v>
                </c:pt>
                <c:pt idx="3">
                  <c:v>32710.457057681077</c:v>
                </c:pt>
                <c:pt idx="4">
                  <c:v>47545.23190960427</c:v>
                </c:pt>
                <c:pt idx="5">
                  <c:v>63546.258777942523</c:v>
                </c:pt>
                <c:pt idx="6">
                  <c:v>80542.592929045626</c:v>
                </c:pt>
                <c:pt idx="7">
                  <c:v>98413.897907476538</c:v>
                </c:pt>
                <c:pt idx="8">
                  <c:v>117070.09329339561</c:v>
                </c:pt>
                <c:pt idx="9">
                  <c:v>136440.79574725006</c:v>
                </c:pt>
                <c:pt idx="10">
                  <c:v>156469.24296686845</c:v>
                </c:pt>
                <c:pt idx="11">
                  <c:v>177108.52740368294</c:v>
                </c:pt>
                <c:pt idx="12">
                  <c:v>198319.12664181678</c:v>
                </c:pt>
                <c:pt idx="13">
                  <c:v>220067.21092723263</c:v>
                </c:pt>
                <c:pt idx="14">
                  <c:v>242323.44120857364</c:v>
                </c:pt>
                <c:pt idx="15">
                  <c:v>265062.09005683055</c:v>
                </c:pt>
                <c:pt idx="16">
                  <c:v>288260.38265586458</c:v>
                </c:pt>
                <c:pt idx="17">
                  <c:v>311897.99226544978</c:v>
                </c:pt>
                <c:pt idx="18">
                  <c:v>335956.64687312313</c:v>
                </c:pt>
                <c:pt idx="19">
                  <c:v>360419.81764064363</c:v>
                </c:pt>
                <c:pt idx="20">
                  <c:v>385272.46867793723</c:v>
                </c:pt>
                <c:pt idx="21">
                  <c:v>410500.85357739322</c:v>
                </c:pt>
                <c:pt idx="22">
                  <c:v>436092.34813757968</c:v>
                </c:pt>
                <c:pt idx="23">
                  <c:v>462035.31147176196</c:v>
                </c:pt>
                <c:pt idx="24">
                  <c:v>488318.96964903094</c:v>
                </c:pt>
                <c:pt idx="25">
                  <c:v>514933.31741808995</c:v>
                </c:pt>
                <c:pt idx="26">
                  <c:v>541869.03458691912</c:v>
                </c:pt>
              </c:numCache>
            </c:numRef>
          </c:yVal>
          <c:smooth val="1"/>
          <c:extLst>
            <c:ext xmlns:c16="http://schemas.microsoft.com/office/drawing/2014/chart" uri="{C3380CC4-5D6E-409C-BE32-E72D297353CC}">
              <c16:uniqueId val="{00000000-9E23-43C1-AE8D-137960F89B92}"/>
            </c:ext>
          </c:extLst>
        </c:ser>
        <c:dLbls>
          <c:showLegendKey val="0"/>
          <c:showVal val="0"/>
          <c:showCatName val="0"/>
          <c:showSerName val="0"/>
          <c:showPercent val="0"/>
          <c:showBubbleSize val="0"/>
        </c:dLbls>
        <c:axId val="-1332150896"/>
        <c:axId val="-1332151984"/>
      </c:scatterChart>
      <c:valAx>
        <c:axId val="-1332150896"/>
        <c:scaling>
          <c:orientation val="minMax"/>
        </c:scaling>
        <c:delete val="0"/>
        <c:axPos val="b"/>
        <c:numFmt formatCode="General" sourceLinked="1"/>
        <c:majorTickMark val="out"/>
        <c:minorTickMark val="none"/>
        <c:tickLblPos val="nextTo"/>
        <c:txPr>
          <a:bodyPr/>
          <a:lstStyle/>
          <a:p>
            <a:pPr>
              <a:defRPr sz="100"/>
            </a:pPr>
            <a:endParaRPr lang="zh-CN"/>
          </a:p>
        </c:txPr>
        <c:crossAx val="-1332151984"/>
        <c:crosses val="autoZero"/>
        <c:crossBetween val="midCat"/>
      </c:valAx>
      <c:valAx>
        <c:axId val="-1332151984"/>
        <c:scaling>
          <c:orientation val="minMax"/>
        </c:scaling>
        <c:delete val="0"/>
        <c:axPos val="l"/>
        <c:numFmt formatCode="General" sourceLinked="1"/>
        <c:majorTickMark val="out"/>
        <c:minorTickMark val="none"/>
        <c:tickLblPos val="nextTo"/>
        <c:txPr>
          <a:bodyPr/>
          <a:lstStyle/>
          <a:p>
            <a:pPr>
              <a:defRPr sz="100"/>
            </a:pPr>
            <a:endParaRPr lang="zh-CN"/>
          </a:p>
        </c:txPr>
        <c:crossAx val="-1332150896"/>
        <c:crosses val="autoZero"/>
        <c:crossBetween val="midCat"/>
      </c:valAx>
    </c:plotArea>
    <c:plotVisOnly val="1"/>
    <c:dispBlanksAs val="gap"/>
    <c:showDLblsOverMax val="0"/>
  </c:chart>
  <c:printSettings>
    <c:headerFooter/>
    <c:pageMargins b="0.75000000000000933" l="0.70000000000000062" r="0.70000000000000062" t="0.75000000000000933" header="0.30000000000000032" footer="0.30000000000000032"/>
    <c:pageSetup/>
  </c:printSettings>
  <c:userShapes r:id="rId1"/>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0"/>
    <c:plotArea>
      <c:layout>
        <c:manualLayout>
          <c:layoutTarget val="inner"/>
          <c:xMode val="edge"/>
          <c:yMode val="edge"/>
          <c:x val="0.15520230234904558"/>
          <c:y val="7.4548702245552628E-2"/>
          <c:w val="0.79735005657482216"/>
          <c:h val="0.68913396908894642"/>
        </c:manualLayout>
      </c:layout>
      <c:scatterChart>
        <c:scatterStyle val="smoothMarker"/>
        <c:varyColors val="0"/>
        <c:ser>
          <c:idx val="0"/>
          <c:order val="0"/>
          <c:tx>
            <c:v>h-t</c:v>
          </c:tx>
          <c:spPr>
            <a:ln>
              <a:solidFill>
                <a:srgbClr val="0070C0"/>
              </a:solidFill>
            </a:ln>
          </c:spPr>
          <c:marker>
            <c:spPr>
              <a:ln>
                <a:solidFill>
                  <a:srgbClr val="0070C0"/>
                </a:solidFill>
              </a:ln>
            </c:spPr>
          </c:marker>
          <c:xVal>
            <c:numLit>
              <c:formatCode>General</c:formatCode>
              <c:ptCount val="149"/>
              <c:pt idx="0">
                <c:v>0.10684471520162125</c:v>
              </c:pt>
              <c:pt idx="1">
                <c:v>0.20241411504260168</c:v>
              </c:pt>
              <c:pt idx="2">
                <c:v>0.29043115192009594</c:v>
              </c:pt>
              <c:pt idx="3">
                <c:v>0.37314322797722654</c:v>
              </c:pt>
              <c:pt idx="4">
                <c:v>0.45201206585773351</c:v>
              </c:pt>
              <c:pt idx="5">
                <c:v>0.52804265649615456</c:v>
              </c:pt>
              <c:pt idx="6">
                <c:v>0.60195641449027593</c:v>
              </c:pt>
              <c:pt idx="7">
                <c:v>0.67428942413179604</c:v>
              </c:pt>
              <c:pt idx="8">
                <c:v>0.74545156985618855</c:v>
              </c:pt>
              <c:pt idx="9">
                <c:v>0.81576386303885262</c:v>
              </c:pt>
              <c:pt idx="10">
                <c:v>0.88548295225934937</c:v>
              </c:pt>
              <c:pt idx="11">
                <c:v>0.954817760314011</c:v>
              </c:pt>
              <c:pt idx="12">
                <c:v>1.0239411013309825</c:v>
              </c:pt>
              <c:pt idx="13">
                <c:v>1.092997993715936</c:v>
              </c:pt>
              <c:pt idx="14">
                <c:v>1.1621117374703469</c:v>
              </c:pt>
              <c:pt idx="15">
                <c:v>1.2313884419790928</c:v>
              </c:pt>
              <c:pt idx="16">
                <c:v>1.3009204567542278</c:v>
              </c:pt>
              <c:pt idx="17">
                <c:v>1.3707890107085379</c:v>
              </c:pt>
              <c:pt idx="18">
                <c:v>1.4431361604726924</c:v>
              </c:pt>
              <c:pt idx="19">
                <c:v>1.5160196811370978</c:v>
              </c:pt>
              <c:pt idx="20">
                <c:v>1.5894989569377462</c:v>
              </c:pt>
              <c:pt idx="21">
                <c:v>1.663627611389654</c:v>
              </c:pt>
              <c:pt idx="22">
                <c:v>1.7446692625975062</c:v>
              </c:pt>
              <c:pt idx="23">
                <c:v>1.8063496560540777</c:v>
              </c:pt>
              <c:pt idx="24">
                <c:v>1.8686516361632692</c:v>
              </c:pt>
              <c:pt idx="25">
                <c:v>1.9315976463135269</c:v>
              </c:pt>
              <c:pt idx="26">
                <c:v>1.9952088617284067</c:v>
              </c:pt>
              <c:pt idx="27">
                <c:v>2.0595052095615904</c:v>
              </c:pt>
              <c:pt idx="28">
                <c:v>2.1245053688987534</c:v>
              </c:pt>
              <c:pt idx="29">
                <c:v>2.1902267517082392</c:v>
              </c:pt>
              <c:pt idx="30">
                <c:v>2.2566854655212127</c:v>
              </c:pt>
              <c:pt idx="31">
                <c:v>2.3238962584249458</c:v>
              </c:pt>
              <c:pt idx="32">
                <c:v>2.4052770677783091</c:v>
              </c:pt>
              <c:pt idx="33">
                <c:v>2.4606048856023892</c:v>
              </c:pt>
              <c:pt idx="34">
                <c:v>2.5166021423022538</c:v>
              </c:pt>
              <c:pt idx="35">
                <c:v>2.5732799627725811</c:v>
              </c:pt>
              <c:pt idx="36">
                <c:v>2.6306488581453205</c:v>
              </c:pt>
              <c:pt idx="37">
                <c:v>2.6887186300830161</c:v>
              </c:pt>
              <c:pt idx="38">
                <c:v>2.7474982641013765</c:v>
              </c:pt>
              <c:pt idx="39">
                <c:v>2.8069958112503506</c:v>
              </c:pt>
              <c:pt idx="40">
                <c:v>2.8924872422038406</c:v>
              </c:pt>
              <c:pt idx="41">
                <c:v>2.9363148187507462</c:v>
              </c:pt>
              <c:pt idx="42">
                <c:v>2.9805586281734104</c:v>
              </c:pt>
              <c:pt idx="43">
                <c:v>3.0252174544578336</c:v>
              </c:pt>
              <c:pt idx="44">
                <c:v>3.0702893434434282</c:v>
              </c:pt>
              <c:pt idx="45">
                <c:v>3.115771547669429</c:v>
              </c:pt>
              <c:pt idx="46">
                <c:v>3.1616604699795587</c:v>
              </c:pt>
              <c:pt idx="47">
                <c:v>3.2079516062575371</c:v>
              </c:pt>
              <c:pt idx="48">
                <c:v>3.2546394877354072</c:v>
              </c:pt>
              <c:pt idx="49">
                <c:v>3.3017176233903043</c:v>
              </c:pt>
              <c:pt idx="50">
                <c:v>3.431112429924875</c:v>
              </c:pt>
              <c:pt idx="51">
                <c:v>3.4962861094962125</c:v>
              </c:pt>
              <c:pt idx="52">
                <c:v>3.5612528595816197</c:v>
              </c:pt>
              <c:pt idx="53">
                <c:v>3.6259436607122781</c:v>
              </c:pt>
              <c:pt idx="54">
                <c:v>3.6902910523188512</c:v>
              </c:pt>
              <c:pt idx="55">
                <c:v>3.7542296951688447</c:v>
              </c:pt>
              <c:pt idx="56">
                <c:v>3.8176968849531696</c:v>
              </c:pt>
              <c:pt idx="57">
                <c:v>3.8806330064708341</c:v>
              </c:pt>
              <c:pt idx="58">
                <c:v>3.942981920438426</c:v>
              </c:pt>
              <c:pt idx="59">
                <c:v>4.0046912777288748</c:v>
              </c:pt>
              <c:pt idx="60">
                <c:v>4.0657127586410011</c:v>
              </c:pt>
              <c:pt idx="61">
                <c:v>4.1260022374516705</c:v>
              </c:pt>
              <c:pt idx="62">
                <c:v>4.1855198748712077</c:v>
              </c:pt>
              <c:pt idx="63">
                <c:v>4.2442301430106939</c:v>
              </c:pt>
              <c:pt idx="64">
                <c:v>4.3021017890177768</c:v>
              </c:pt>
              <c:pt idx="65">
                <c:v>4.3622223619380955</c:v>
              </c:pt>
              <c:pt idx="66">
                <c:v>4.4248328145397817</c:v>
              </c:pt>
              <c:pt idx="67">
                <c:v>4.4902196881855572</c:v>
              </c:pt>
              <c:pt idx="68">
                <c:v>4.5587280924612408</c:v>
              </c:pt>
              <c:pt idx="69">
                <c:v>4.6307798311951878</c:v>
              </c:pt>
              <c:pt idx="70">
                <c:v>4.7068993978626406</c:v>
              </c:pt>
              <c:pt idx="71">
                <c:v>4.7877524395290658</c:v>
              </c:pt>
              <c:pt idx="72">
                <c:v>4.874204826248655</c:v>
              </c:pt>
              <c:pt idx="73">
                <c:v>4.9674175454112746</c:v>
              </c:pt>
              <c:pt idx="74">
                <c:v>5.0690078914642385</c:v>
              </c:pt>
              <c:pt idx="75">
                <c:v>5.1813433838371523</c:v>
              </c:pt>
              <c:pt idx="76">
                <c:v>5.2470125499174207</c:v>
              </c:pt>
              <c:pt idx="77">
                <c:v>5.3177965397245508</c:v>
              </c:pt>
              <c:pt idx="78">
                <c:v>5.3949512565595334</c:v>
              </c:pt>
              <c:pt idx="79">
                <c:v>5.4803344393002682</c:v>
              </c:pt>
              <c:pt idx="80">
                <c:v>5.5768965840167093</c:v>
              </c:pt>
              <c:pt idx="81">
                <c:v>5.6898311604282661</c:v>
              </c:pt>
              <c:pt idx="82">
                <c:v>5.8298932479468455</c:v>
              </c:pt>
              <c:pt idx="83">
                <c:v>6.0271605975351452</c:v>
              </c:pt>
              <c:pt idx="84">
                <c:v>6.4304292838313701</c:v>
              </c:pt>
              <c:pt idx="85">
                <c:v>6.7042143493991073</c:v>
              </c:pt>
              <c:pt idx="86">
                <c:v>6.8319007169231813</c:v>
              </c:pt>
              <c:pt idx="87">
                <c:v>6.9357122363565384</c:v>
              </c:pt>
              <c:pt idx="88">
                <c:v>7.0261985600638095</c:v>
              </c:pt>
              <c:pt idx="89">
                <c:v>7.1077822774029134</c:v>
              </c:pt>
              <c:pt idx="90">
                <c:v>7.1828475995148411</c:v>
              </c:pt>
              <c:pt idx="91">
                <c:v>7.2528621431633038</c:v>
              </c:pt>
              <c:pt idx="92">
                <c:v>7.3188083514978155</c:v>
              </c:pt>
              <c:pt idx="93">
                <c:v>7.3813834115859409</c:v>
              </c:pt>
              <c:pt idx="94">
                <c:v>7.4411038967021312</c:v>
              </c:pt>
              <c:pt idx="95">
                <c:v>7.4983655119164085</c:v>
              </c:pt>
              <c:pt idx="96">
                <c:v>7.5534795159584274</c:v>
              </c:pt>
              <c:pt idx="97">
                <c:v>7.6066960946656836</c:v>
              </c:pt>
              <c:pt idx="98">
                <c:v>7.6582199952016099</c:v>
              </c:pt>
              <c:pt idx="99">
                <c:v>7.708221347200741</c:v>
              </c:pt>
              <c:pt idx="100">
                <c:v>7.7568433707074185</c:v>
              </c:pt>
              <c:pt idx="101">
                <c:v>7.8042080025914728</c:v>
              </c:pt>
              <c:pt idx="102">
                <c:v>7.8504200912273454</c:v>
              </c:pt>
              <c:pt idx="103">
                <c:v>7.895570581917986</c:v>
              </c:pt>
              <c:pt idx="104">
                <c:v>7.939738975442558</c:v>
              </c:pt>
              <c:pt idx="105">
                <c:v>8.1338937771036885</c:v>
              </c:pt>
              <c:pt idx="106">
                <c:v>8.1734285715057098</c:v>
              </c:pt>
              <c:pt idx="107">
                <c:v>8.3474788205570203</c:v>
              </c:pt>
              <c:pt idx="108">
                <c:v>8.5094446918775741</c:v>
              </c:pt>
              <c:pt idx="109">
                <c:v>8.6618889080346477</c:v>
              </c:pt>
              <c:pt idx="110">
                <c:v>8.8065641672477231</c:v>
              </c:pt>
              <c:pt idx="111">
                <c:v>8.9447335981418217</c:v>
              </c:pt>
              <c:pt idx="112">
                <c:v>9.0773439590516922</c:v>
              </c:pt>
              <c:pt idx="113">
                <c:v>9.2051269271953249</c:v>
              </c:pt>
              <c:pt idx="114">
                <c:v>9.328662012415375</c:v>
              </c:pt>
              <c:pt idx="115">
                <c:v>9.4484175436047195</c:v>
              </c:pt>
              <c:pt idx="116">
                <c:v>9.5647784256099229</c:v>
              </c:pt>
              <c:pt idx="117">
                <c:v>9.6780655515163314</c:v>
              </c:pt>
              <c:pt idx="118">
                <c:v>9.7885497528070218</c:v>
              </c:pt>
              <c:pt idx="119">
                <c:v>9.8964620601382247</c:v>
              </c:pt>
              <c:pt idx="120">
                <c:v>10.002001404004366</c:v>
              </c:pt>
              <c:pt idx="121">
                <c:v>10.105340496796172</c:v>
              </c:pt>
              <c:pt idx="122">
                <c:v>10.206630396161072</c:v>
              </c:pt>
              <c:pt idx="123">
                <c:v>10.306004094611584</c:v>
              </c:pt>
              <c:pt idx="124">
                <c:v>10.403579378349017</c:v>
              </c:pt>
              <c:pt idx="125">
                <c:v>10.499461129614469</c:v>
              </c:pt>
              <c:pt idx="126">
                <c:v>10.593743199706351</c:v>
              </c:pt>
              <c:pt idx="127">
                <c:v>10.686509946791071</c:v>
              </c:pt>
              <c:pt idx="128">
                <c:v>10.777837509145026</c:v>
              </c:pt>
              <c:pt idx="129">
                <c:v>10.867794867497718</c:v>
              </c:pt>
              <c:pt idx="130">
                <c:v>10.956444737719499</c:v>
              </c:pt>
              <c:pt idx="131">
                <c:v>11.043844325879869</c:v>
              </c:pt>
              <c:pt idx="132">
                <c:v>11.130045970785309</c:v>
              </c:pt>
              <c:pt idx="133">
                <c:v>11.215097693858755</c:v>
              </c:pt>
              <c:pt idx="134">
                <c:v>11.299043672203386</c:v>
              </c:pt>
              <c:pt idx="135">
                <c:v>11.381924647584128</c:v>
              </c:pt>
              <c:pt idx="136">
                <c:v>11.463778281636182</c:v>
              </c:pt>
              <c:pt idx="137">
                <c:v>11.544639465702984</c:v>
              </c:pt>
              <c:pt idx="138">
                <c:v>11.624540592195094</c:v>
              </c:pt>
              <c:pt idx="139">
                <c:v>11.703511793156649</c:v>
              </c:pt>
              <c:pt idx="140">
                <c:v>11.781581150757033</c:v>
              </c:pt>
              <c:pt idx="141">
                <c:v>11.858774883643196</c:v>
              </c:pt>
              <c:pt idx="142">
                <c:v>11.935117512451125</c:v>
              </c:pt>
              <c:pt idx="143">
                <c:v>12.010632007254802</c:v>
              </c:pt>
              <c:pt idx="144">
                <c:v>12.085339919302774</c:v>
              </c:pt>
              <c:pt idx="145">
                <c:v>12.159261499039069</c:v>
              </c:pt>
              <c:pt idx="146">
                <c:v>12.232415802111595</c:v>
              </c:pt>
              <c:pt idx="147">
                <c:v>12.304820784826415</c:v>
              </c:pt>
            </c:numLit>
          </c:xVal>
          <c:yVal>
            <c:numLit>
              <c:formatCode>General</c:formatCode>
              <c:ptCount val="149"/>
              <c:pt idx="0">
                <c:v>742.5721783889237</c:v>
              </c:pt>
              <c:pt idx="1">
                <c:v>742.57141453914335</c:v>
              </c:pt>
              <c:pt idx="2">
                <c:v>742.57028992374967</c:v>
              </c:pt>
              <c:pt idx="3">
                <c:v>742.56882391549038</c:v>
              </c:pt>
              <c:pt idx="4">
                <c:v>742.56701894712432</c:v>
              </c:pt>
              <c:pt idx="5">
                <c:v>742.56486784453796</c:v>
              </c:pt>
              <c:pt idx="6">
                <c:v>742.56235729875687</c:v>
              </c:pt>
              <c:pt idx="7">
                <c:v>742.55946967034959</c:v>
              </c:pt>
              <c:pt idx="8">
                <c:v>742.55618399104446</c:v>
              </c:pt>
              <c:pt idx="9">
                <c:v>742.55247654519553</c:v>
              </c:pt>
              <c:pt idx="10">
                <c:v>742.54832121608194</c:v>
              </c:pt>
              <c:pt idx="11">
                <c:v>742.54368969301447</c:v>
              </c:pt>
              <c:pt idx="12">
                <c:v>742.53855159194939</c:v>
              </c:pt>
              <c:pt idx="13">
                <c:v>742.53287451995914</c:v>
              </c:pt>
              <c:pt idx="14">
                <c:v>742.52662410173218</c:v>
              </c:pt>
              <c:pt idx="15">
                <c:v>742.51976397934607</c:v>
              </c:pt>
              <c:pt idx="16">
                <c:v>742.51225579243237</c:v>
              </c:pt>
              <c:pt idx="17">
                <c:v>742.50405914337932</c:v>
              </c:pt>
              <c:pt idx="18">
                <c:v>742.49513155057173</c:v>
              </c:pt>
              <c:pt idx="19">
                <c:v>742.47820009514169</c:v>
              </c:pt>
              <c:pt idx="20">
                <c:v>742.46011419587398</c:v>
              </c:pt>
              <c:pt idx="21">
                <c:v>742.440821747516</c:v>
              </c:pt>
              <c:pt idx="22">
                <c:v>742.42027065494278</c:v>
              </c:pt>
              <c:pt idx="23">
                <c:v>742.37550122062783</c:v>
              </c:pt>
              <c:pt idx="24">
                <c:v>742.34000651514282</c:v>
              </c:pt>
              <c:pt idx="25">
                <c:v>742.30287507974674</c:v>
              </c:pt>
              <c:pt idx="26">
                <c:v>742.26405779421373</c:v>
              </c:pt>
              <c:pt idx="27">
                <c:v>742.22350662289819</c:v>
              </c:pt>
              <c:pt idx="28">
                <c:v>742.18117494330852</c:v>
              </c:pt>
              <c:pt idx="29">
                <c:v>742.13701791408403</c:v>
              </c:pt>
              <c:pt idx="30">
                <c:v>742.09099288527545</c:v>
              </c:pt>
              <c:pt idx="31">
                <c:v>742.04305985386907</c:v>
              </c:pt>
              <c:pt idx="32">
                <c:v>741.993181967434</c:v>
              </c:pt>
              <c:pt idx="33">
                <c:v>741.88826136100977</c:v>
              </c:pt>
              <c:pt idx="34">
                <c:v>741.81525590194997</c:v>
              </c:pt>
              <c:pt idx="35">
                <c:v>741.73994123935336</c:v>
              </c:pt>
              <c:pt idx="36">
                <c:v>741.66227176531117</c:v>
              </c:pt>
              <c:pt idx="37">
                <c:v>741.58220393779754</c:v>
              </c:pt>
              <c:pt idx="38">
                <c:v>741.49969671686358</c:v>
              </c:pt>
              <c:pt idx="39">
                <c:v>741.41471204892139</c:v>
              </c:pt>
              <c:pt idx="40">
                <c:v>741.32721540244813</c:v>
              </c:pt>
              <c:pt idx="41">
                <c:v>741.13431794110352</c:v>
              </c:pt>
              <c:pt idx="42">
                <c:v>741.03453081452471</c:v>
              </c:pt>
              <c:pt idx="43">
                <c:v>740.93307098187893</c:v>
              </c:pt>
              <c:pt idx="44">
                <c:v>740.82994118766476</c:v>
              </c:pt>
              <c:pt idx="45">
                <c:v>740.72514726024451</c:v>
              </c:pt>
              <c:pt idx="46">
                <c:v>740.61869835485845</c:v>
              </c:pt>
              <c:pt idx="47">
                <c:v>740.51060720297357</c:v>
              </c:pt>
              <c:pt idx="48">
                <c:v>740.40089036643303</c:v>
              </c:pt>
              <c:pt idx="49">
                <c:v>740.28956849457961</c:v>
              </c:pt>
              <c:pt idx="50">
                <c:v>740.17666658221049</c:v>
              </c:pt>
              <c:pt idx="51">
                <c:v>739.72361926420433</c:v>
              </c:pt>
              <c:pt idx="52">
                <c:v>739.4959908042224</c:v>
              </c:pt>
              <c:pt idx="53">
                <c:v>739.26911003520718</c:v>
              </c:pt>
              <c:pt idx="54">
                <c:v>739.04326501794151</c:v>
              </c:pt>
              <c:pt idx="55">
                <c:v>738.81873793285274</c:v>
              </c:pt>
              <c:pt idx="56">
                <c:v>738.59580272339781</c:v>
              </c:pt>
              <c:pt idx="57">
                <c:v>738.374722934484</c:v>
              </c:pt>
              <c:pt idx="58">
                <c:v>738.15574979068163</c:v>
              </c:pt>
              <c:pt idx="59">
                <c:v>737.9391205484892</c:v>
              </c:pt>
              <c:pt idx="60">
                <c:v>737.72505714548538</c:v>
              </c:pt>
              <c:pt idx="61">
                <c:v>737.51376515764161</c:v>
              </c:pt>
              <c:pt idx="62">
                <c:v>737.30543306505444</c:v>
              </c:pt>
              <c:pt idx="63">
                <c:v>737.10023181646932</c:v>
              </c:pt>
              <c:pt idx="64">
                <c:v>736.89831467457952</c:v>
              </c:pt>
              <c:pt idx="65">
                <c:v>736.69981731754478</c:v>
              </c:pt>
              <c:pt idx="66">
                <c:v>736.49185262774984</c:v>
              </c:pt>
              <c:pt idx="67">
                <c:v>736.27340239878015</c:v>
              </c:pt>
              <c:pt idx="68">
                <c:v>736.04325594609202</c:v>
              </c:pt>
              <c:pt idx="69">
                <c:v>735.79995533133354</c:v>
              </c:pt>
              <c:pt idx="70">
                <c:v>735.54171887373673</c:v>
              </c:pt>
              <c:pt idx="71">
                <c:v>735.26633146193058</c:v>
              </c:pt>
              <c:pt idx="72">
                <c:v>734.9709822659654</c:v>
              </c:pt>
              <c:pt idx="73">
                <c:v>734.65201552779376</c:v>
              </c:pt>
              <c:pt idx="74">
                <c:v>734.30453023657481</c:v>
              </c:pt>
              <c:pt idx="75">
                <c:v>733.92170017416504</c:v>
              </c:pt>
              <c:pt idx="76">
                <c:v>733.4935341491697</c:v>
              </c:pt>
              <c:pt idx="77">
                <c:v>733.24050861118803</c:v>
              </c:pt>
              <c:pt idx="78">
                <c:v>732.96590850488008</c:v>
              </c:pt>
              <c:pt idx="79">
                <c:v>732.66443718013841</c:v>
              </c:pt>
              <c:pt idx="80">
                <c:v>732.32826047948652</c:v>
              </c:pt>
              <c:pt idx="81">
                <c:v>731.94493710411598</c:v>
              </c:pt>
              <c:pt idx="82">
                <c:v>731.4925696725852</c:v>
              </c:pt>
              <c:pt idx="83">
                <c:v>730.92581484539562</c:v>
              </c:pt>
              <c:pt idx="84">
                <c:v>730.11787446118296</c:v>
              </c:pt>
              <c:pt idx="85">
                <c:v>728.4414783295889</c:v>
              </c:pt>
              <c:pt idx="86">
                <c:v>727.26876971384308</c:v>
              </c:pt>
              <c:pt idx="87">
                <c:v>726.71189229197512</c:v>
              </c:pt>
              <c:pt idx="88">
                <c:v>726.25572638821041</c:v>
              </c:pt>
              <c:pt idx="89">
                <c:v>725.8557969974446</c:v>
              </c:pt>
              <c:pt idx="90">
                <c:v>725.49345711898479</c:v>
              </c:pt>
              <c:pt idx="91">
                <c:v>725.15865307962054</c:v>
              </c:pt>
              <c:pt idx="92">
                <c:v>724.84519564418758</c:v>
              </c:pt>
              <c:pt idx="93">
                <c:v>724.54894125077192</c:v>
              </c:pt>
              <c:pt idx="94">
                <c:v>724.26694916217275</c:v>
              </c:pt>
              <c:pt idx="95">
                <c:v>723.99704027391306</c:v>
              </c:pt>
              <c:pt idx="96">
                <c:v>723.73754520330715</c:v>
              </c:pt>
              <c:pt idx="97">
                <c:v>723.48715071344122</c:v>
              </c:pt>
              <c:pt idx="98">
                <c:v>723.24480115252311</c:v>
              </c:pt>
              <c:pt idx="99">
                <c:v>723.00963252494671</c:v>
              </c:pt>
              <c:pt idx="100">
                <c:v>722.78092685694457</c:v>
              </c:pt>
              <c:pt idx="101">
                <c:v>722.55807968970123</c:v>
              </c:pt>
              <c:pt idx="102">
                <c:v>722.34057634993383</c:v>
              </c:pt>
              <c:pt idx="103">
                <c:v>722.12797425809106</c:v>
              </c:pt>
              <c:pt idx="104">
                <c:v>721.91988949271058</c:v>
              </c:pt>
              <c:pt idx="105">
                <c:v>721.71598642021888</c:v>
              </c:pt>
              <c:pt idx="106">
                <c:v>720.82168906208346</c:v>
              </c:pt>
              <c:pt idx="107">
                <c:v>720.6375227911841</c:v>
              </c:pt>
              <c:pt idx="108">
                <c:v>719.82883225228352</c:v>
              </c:pt>
              <c:pt idx="109">
                <c:v>719.07176579504869</c:v>
              </c:pt>
              <c:pt idx="110">
                <c:v>718.35551520599279</c:v>
              </c:pt>
              <c:pt idx="111">
                <c:v>717.67268600597629</c:v>
              </c:pt>
              <c:pt idx="112">
                <c:v>717.01794749444787</c:v>
              </c:pt>
              <c:pt idx="113">
                <c:v>716.38730296963968</c:v>
              </c:pt>
              <c:pt idx="114">
                <c:v>715.77766285700011</c:v>
              </c:pt>
              <c:pt idx="115">
                <c:v>715.18657951450552</c:v>
              </c:pt>
              <c:pt idx="116">
                <c:v>714.6120744334404</c:v>
              </c:pt>
              <c:pt idx="117">
                <c:v>714.05252119340798</c:v>
              </c:pt>
              <c:pt idx="118">
                <c:v>713.5065635901027</c:v>
              </c:pt>
              <c:pt idx="119">
                <c:v>712.97305678951273</c:v>
              </c:pt>
              <c:pt idx="120">
                <c:v>712.45102403757289</c:v>
              </c:pt>
              <c:pt idx="121">
                <c:v>711.93962416547856</c:v>
              </c:pt>
              <c:pt idx="122">
                <c:v>711.43812676493178</c:v>
              </c:pt>
              <c:pt idx="123">
                <c:v>710.94589292572971</c:v>
              </c:pt>
              <c:pt idx="124">
                <c:v>710.46236008127062</c:v>
              </c:pt>
              <c:pt idx="125">
                <c:v>709.98702993739585</c:v>
              </c:pt>
              <c:pt idx="126">
                <c:v>709.51945874942544</c:v>
              </c:pt>
              <c:pt idx="127">
                <c:v>709.05924941113619</c:v>
              </c:pt>
              <c:pt idx="128">
                <c:v>708.60604495861321</c:v>
              </c:pt>
              <c:pt idx="129">
                <c:v>708.15952319096925</c:v>
              </c:pt>
              <c:pt idx="130">
                <c:v>707.71939218149112</c:v>
              </c:pt>
              <c:pt idx="131">
                <c:v>707.28538650515463</c:v>
              </c:pt>
              <c:pt idx="132">
                <c:v>706.8572640473775</c:v>
              </c:pt>
              <c:pt idx="133">
                <c:v>706.43480328801991</c:v>
              </c:pt>
              <c:pt idx="134">
                <c:v>706.01780097678773</c:v>
              </c:pt>
              <c:pt idx="135">
                <c:v>705.60607013317247</c:v>
              </c:pt>
              <c:pt idx="136">
                <c:v>705.1994383171575</c:v>
              </c:pt>
              <c:pt idx="137">
                <c:v>704.79774612715903</c:v>
              </c:pt>
              <c:pt idx="138">
                <c:v>704.40084588972957</c:v>
              </c:pt>
              <c:pt idx="139">
                <c:v>704.00860051190682</c:v>
              </c:pt>
              <c:pt idx="140">
                <c:v>703.62088247219526</c:v>
              </c:pt>
              <c:pt idx="141">
                <c:v>703.2375729302546</c:v>
              </c:pt>
              <c:pt idx="142">
                <c:v>702.85856093866551</c:v>
              </c:pt>
              <c:pt idx="143">
                <c:v>702.48374274283674</c:v>
              </c:pt>
              <c:pt idx="144">
                <c:v>702.11302115731405</c:v>
              </c:pt>
              <c:pt idx="145">
                <c:v>701.74630500856392</c:v>
              </c:pt>
              <c:pt idx="146">
                <c:v>701.38350863578523</c:v>
              </c:pt>
              <c:pt idx="147">
                <c:v>701.02455144255839</c:v>
              </c:pt>
            </c:numLit>
          </c:yVal>
          <c:smooth val="1"/>
          <c:extLst>
            <c:ext xmlns:c16="http://schemas.microsoft.com/office/drawing/2014/chart" uri="{C3380CC4-5D6E-409C-BE32-E72D297353CC}">
              <c16:uniqueId val="{00000000-6693-4A23-8DAA-31C9A23E297D}"/>
            </c:ext>
          </c:extLst>
        </c:ser>
        <c:ser>
          <c:idx val="1"/>
          <c:order val="1"/>
          <c:tx>
            <c:v>z-t</c:v>
          </c:tx>
          <c:spPr>
            <a:ln>
              <a:solidFill>
                <a:srgbClr val="FF0000"/>
              </a:solidFill>
            </a:ln>
          </c:spPr>
          <c:marker>
            <c:symbol val="square"/>
            <c:size val="7"/>
            <c:spPr>
              <a:solidFill>
                <a:srgbClr val="FF0000"/>
              </a:solidFill>
              <a:ln>
                <a:solidFill>
                  <a:srgbClr val="FF0000"/>
                </a:solidFill>
              </a:ln>
            </c:spPr>
          </c:marker>
          <c:xVal>
            <c:numLit>
              <c:formatCode>General</c:formatCode>
              <c:ptCount val="149"/>
              <c:pt idx="0">
                <c:v>0.10684471520162125</c:v>
              </c:pt>
              <c:pt idx="1">
                <c:v>0.20241411504260168</c:v>
              </c:pt>
              <c:pt idx="2">
                <c:v>0.29043115192009594</c:v>
              </c:pt>
              <c:pt idx="3">
                <c:v>0.37314322797722654</c:v>
              </c:pt>
              <c:pt idx="4">
                <c:v>0.45201206585773351</c:v>
              </c:pt>
              <c:pt idx="5">
                <c:v>0.52804265649615456</c:v>
              </c:pt>
              <c:pt idx="6">
                <c:v>0.60195641449027593</c:v>
              </c:pt>
              <c:pt idx="7">
                <c:v>0.67428942413179604</c:v>
              </c:pt>
              <c:pt idx="8">
                <c:v>0.74545156985618855</c:v>
              </c:pt>
              <c:pt idx="9">
                <c:v>0.81576386303885262</c:v>
              </c:pt>
              <c:pt idx="10">
                <c:v>0.88548295225934937</c:v>
              </c:pt>
              <c:pt idx="11">
                <c:v>0.954817760314011</c:v>
              </c:pt>
              <c:pt idx="12">
                <c:v>1.0239411013309825</c:v>
              </c:pt>
              <c:pt idx="13">
                <c:v>1.092997993715936</c:v>
              </c:pt>
              <c:pt idx="14">
                <c:v>1.1621117374703469</c:v>
              </c:pt>
              <c:pt idx="15">
                <c:v>1.2313884419790928</c:v>
              </c:pt>
              <c:pt idx="16">
                <c:v>1.3009204567542278</c:v>
              </c:pt>
              <c:pt idx="17">
                <c:v>1.3707890107085379</c:v>
              </c:pt>
              <c:pt idx="18">
                <c:v>1.4431361604726924</c:v>
              </c:pt>
              <c:pt idx="19">
                <c:v>1.5160196811370978</c:v>
              </c:pt>
              <c:pt idx="20">
                <c:v>1.5894989569377462</c:v>
              </c:pt>
              <c:pt idx="21">
                <c:v>1.663627611389654</c:v>
              </c:pt>
              <c:pt idx="22">
                <c:v>1.7446692625975062</c:v>
              </c:pt>
              <c:pt idx="23">
                <c:v>1.8063496560540777</c:v>
              </c:pt>
              <c:pt idx="24">
                <c:v>1.8686516361632692</c:v>
              </c:pt>
              <c:pt idx="25">
                <c:v>1.9315976463135269</c:v>
              </c:pt>
              <c:pt idx="26">
                <c:v>1.9952088617284067</c:v>
              </c:pt>
              <c:pt idx="27">
                <c:v>2.0595052095615904</c:v>
              </c:pt>
              <c:pt idx="28">
                <c:v>2.1245053688987534</c:v>
              </c:pt>
              <c:pt idx="29">
                <c:v>2.1902267517082392</c:v>
              </c:pt>
              <c:pt idx="30">
                <c:v>2.2566854655212127</c:v>
              </c:pt>
              <c:pt idx="31">
                <c:v>2.3238962584249458</c:v>
              </c:pt>
              <c:pt idx="32">
                <c:v>2.4052770677783091</c:v>
              </c:pt>
              <c:pt idx="33">
                <c:v>2.4606048856023892</c:v>
              </c:pt>
              <c:pt idx="34">
                <c:v>2.5166021423022538</c:v>
              </c:pt>
              <c:pt idx="35">
                <c:v>2.5732799627725811</c:v>
              </c:pt>
              <c:pt idx="36">
                <c:v>2.6306488581453205</c:v>
              </c:pt>
              <c:pt idx="37">
                <c:v>2.6887186300830161</c:v>
              </c:pt>
              <c:pt idx="38">
                <c:v>2.7474982641013765</c:v>
              </c:pt>
              <c:pt idx="39">
                <c:v>2.8069958112503506</c:v>
              </c:pt>
              <c:pt idx="40">
                <c:v>2.8924872422038406</c:v>
              </c:pt>
              <c:pt idx="41">
                <c:v>2.9363148187507462</c:v>
              </c:pt>
              <c:pt idx="42">
                <c:v>2.9805586281734104</c:v>
              </c:pt>
              <c:pt idx="43">
                <c:v>3.0252174544578336</c:v>
              </c:pt>
              <c:pt idx="44">
                <c:v>3.0702893434434282</c:v>
              </c:pt>
              <c:pt idx="45">
                <c:v>3.115771547669429</c:v>
              </c:pt>
              <c:pt idx="46">
                <c:v>3.1616604699795587</c:v>
              </c:pt>
              <c:pt idx="47">
                <c:v>3.2079516062575371</c:v>
              </c:pt>
              <c:pt idx="48">
                <c:v>3.2546394877354072</c:v>
              </c:pt>
              <c:pt idx="49">
                <c:v>3.3017176233903043</c:v>
              </c:pt>
              <c:pt idx="50">
                <c:v>3.431112429924875</c:v>
              </c:pt>
              <c:pt idx="51">
                <c:v>3.4962861094962125</c:v>
              </c:pt>
              <c:pt idx="52">
                <c:v>3.5612528595816197</c:v>
              </c:pt>
              <c:pt idx="53">
                <c:v>3.6259436607122781</c:v>
              </c:pt>
              <c:pt idx="54">
                <c:v>3.6902910523188512</c:v>
              </c:pt>
              <c:pt idx="55">
                <c:v>3.7542296951688447</c:v>
              </c:pt>
              <c:pt idx="56">
                <c:v>3.8176968849531696</c:v>
              </c:pt>
              <c:pt idx="57">
                <c:v>3.8806330064708341</c:v>
              </c:pt>
              <c:pt idx="58">
                <c:v>3.942981920438426</c:v>
              </c:pt>
              <c:pt idx="59">
                <c:v>4.0046912777288748</c:v>
              </c:pt>
              <c:pt idx="60">
                <c:v>4.0657127586410011</c:v>
              </c:pt>
              <c:pt idx="61">
                <c:v>4.1260022374516705</c:v>
              </c:pt>
              <c:pt idx="62">
                <c:v>4.1855198748712077</c:v>
              </c:pt>
              <c:pt idx="63">
                <c:v>4.2442301430106939</c:v>
              </c:pt>
              <c:pt idx="64">
                <c:v>4.3021017890177768</c:v>
              </c:pt>
              <c:pt idx="65">
                <c:v>4.3622223619380955</c:v>
              </c:pt>
              <c:pt idx="66">
                <c:v>4.4248328145397817</c:v>
              </c:pt>
              <c:pt idx="67">
                <c:v>4.4902196881855572</c:v>
              </c:pt>
              <c:pt idx="68">
                <c:v>4.5587280924612408</c:v>
              </c:pt>
              <c:pt idx="69">
                <c:v>4.6307798311951878</c:v>
              </c:pt>
              <c:pt idx="70">
                <c:v>4.7068993978626406</c:v>
              </c:pt>
              <c:pt idx="71">
                <c:v>4.7877524395290658</c:v>
              </c:pt>
              <c:pt idx="72">
                <c:v>4.874204826248655</c:v>
              </c:pt>
              <c:pt idx="73">
                <c:v>4.9674175454112746</c:v>
              </c:pt>
              <c:pt idx="74">
                <c:v>5.0690078914642385</c:v>
              </c:pt>
              <c:pt idx="75">
                <c:v>5.1813433838371523</c:v>
              </c:pt>
              <c:pt idx="76">
                <c:v>5.2470125499174207</c:v>
              </c:pt>
              <c:pt idx="77">
                <c:v>5.3177965397245508</c:v>
              </c:pt>
              <c:pt idx="78">
                <c:v>5.3949512565595334</c:v>
              </c:pt>
              <c:pt idx="79">
                <c:v>5.4803344393002682</c:v>
              </c:pt>
              <c:pt idx="80">
                <c:v>5.5768965840167093</c:v>
              </c:pt>
              <c:pt idx="81">
                <c:v>5.6898311604282661</c:v>
              </c:pt>
              <c:pt idx="82">
                <c:v>5.8298932479468455</c:v>
              </c:pt>
              <c:pt idx="83">
                <c:v>6.0271605975351452</c:v>
              </c:pt>
              <c:pt idx="84">
                <c:v>6.4304292838313701</c:v>
              </c:pt>
              <c:pt idx="85">
                <c:v>6.7042143493991073</c:v>
              </c:pt>
              <c:pt idx="86">
                <c:v>6.8319007169231813</c:v>
              </c:pt>
              <c:pt idx="87">
                <c:v>6.9357122363565384</c:v>
              </c:pt>
              <c:pt idx="88">
                <c:v>7.0261985600638095</c:v>
              </c:pt>
              <c:pt idx="89">
                <c:v>7.1077822774029134</c:v>
              </c:pt>
              <c:pt idx="90">
                <c:v>7.1828475995148411</c:v>
              </c:pt>
              <c:pt idx="91">
                <c:v>7.2528621431633038</c:v>
              </c:pt>
              <c:pt idx="92">
                <c:v>7.3188083514978155</c:v>
              </c:pt>
              <c:pt idx="93">
                <c:v>7.3813834115859409</c:v>
              </c:pt>
              <c:pt idx="94">
                <c:v>7.4411038967021312</c:v>
              </c:pt>
              <c:pt idx="95">
                <c:v>7.4983655119164085</c:v>
              </c:pt>
              <c:pt idx="96">
                <c:v>7.5534795159584274</c:v>
              </c:pt>
              <c:pt idx="97">
                <c:v>7.6066960946656836</c:v>
              </c:pt>
              <c:pt idx="98">
                <c:v>7.6582199952016099</c:v>
              </c:pt>
              <c:pt idx="99">
                <c:v>7.708221347200741</c:v>
              </c:pt>
              <c:pt idx="100">
                <c:v>7.7568433707074185</c:v>
              </c:pt>
              <c:pt idx="101">
                <c:v>7.8042080025914728</c:v>
              </c:pt>
              <c:pt idx="102">
                <c:v>7.8504200912273454</c:v>
              </c:pt>
              <c:pt idx="103">
                <c:v>7.895570581917986</c:v>
              </c:pt>
              <c:pt idx="104">
                <c:v>7.939738975442558</c:v>
              </c:pt>
              <c:pt idx="105">
                <c:v>8.1338937771036885</c:v>
              </c:pt>
              <c:pt idx="106">
                <c:v>8.1734285715057098</c:v>
              </c:pt>
              <c:pt idx="107">
                <c:v>8.3474788205570203</c:v>
              </c:pt>
              <c:pt idx="108">
                <c:v>8.5094446918775741</c:v>
              </c:pt>
              <c:pt idx="109">
                <c:v>8.6618889080346477</c:v>
              </c:pt>
              <c:pt idx="110">
                <c:v>8.8065641672477231</c:v>
              </c:pt>
              <c:pt idx="111">
                <c:v>8.9447335981418217</c:v>
              </c:pt>
              <c:pt idx="112">
                <c:v>9.0773439590516922</c:v>
              </c:pt>
              <c:pt idx="113">
                <c:v>9.2051269271953249</c:v>
              </c:pt>
              <c:pt idx="114">
                <c:v>9.328662012415375</c:v>
              </c:pt>
              <c:pt idx="115">
                <c:v>9.4484175436047195</c:v>
              </c:pt>
              <c:pt idx="116">
                <c:v>9.5647784256099229</c:v>
              </c:pt>
              <c:pt idx="117">
                <c:v>9.6780655515163314</c:v>
              </c:pt>
              <c:pt idx="118">
                <c:v>9.7885497528070218</c:v>
              </c:pt>
              <c:pt idx="119">
                <c:v>9.8964620601382247</c:v>
              </c:pt>
              <c:pt idx="120">
                <c:v>10.002001404004366</c:v>
              </c:pt>
              <c:pt idx="121">
                <c:v>10.105340496796172</c:v>
              </c:pt>
              <c:pt idx="122">
                <c:v>10.206630396161072</c:v>
              </c:pt>
              <c:pt idx="123">
                <c:v>10.306004094611584</c:v>
              </c:pt>
              <c:pt idx="124">
                <c:v>10.403579378349017</c:v>
              </c:pt>
              <c:pt idx="125">
                <c:v>10.499461129614469</c:v>
              </c:pt>
              <c:pt idx="126">
                <c:v>10.593743199706351</c:v>
              </c:pt>
              <c:pt idx="127">
                <c:v>10.686509946791071</c:v>
              </c:pt>
              <c:pt idx="128">
                <c:v>10.777837509145026</c:v>
              </c:pt>
              <c:pt idx="129">
                <c:v>10.867794867497718</c:v>
              </c:pt>
              <c:pt idx="130">
                <c:v>10.956444737719499</c:v>
              </c:pt>
              <c:pt idx="131">
                <c:v>11.043844325879869</c:v>
              </c:pt>
              <c:pt idx="132">
                <c:v>11.130045970785309</c:v>
              </c:pt>
              <c:pt idx="133">
                <c:v>11.215097693858755</c:v>
              </c:pt>
              <c:pt idx="134">
                <c:v>11.299043672203386</c:v>
              </c:pt>
              <c:pt idx="135">
                <c:v>11.381924647584128</c:v>
              </c:pt>
              <c:pt idx="136">
                <c:v>11.463778281636182</c:v>
              </c:pt>
              <c:pt idx="137">
                <c:v>11.544639465702984</c:v>
              </c:pt>
              <c:pt idx="138">
                <c:v>11.624540592195094</c:v>
              </c:pt>
              <c:pt idx="139">
                <c:v>11.703511793156649</c:v>
              </c:pt>
              <c:pt idx="140">
                <c:v>11.781581150757033</c:v>
              </c:pt>
              <c:pt idx="141">
                <c:v>11.858774883643196</c:v>
              </c:pt>
              <c:pt idx="142">
                <c:v>11.935117512451125</c:v>
              </c:pt>
              <c:pt idx="143">
                <c:v>12.010632007254802</c:v>
              </c:pt>
              <c:pt idx="144">
                <c:v>12.085339919302774</c:v>
              </c:pt>
              <c:pt idx="145">
                <c:v>12.159261499039069</c:v>
              </c:pt>
              <c:pt idx="146">
                <c:v>12.232415802111595</c:v>
              </c:pt>
              <c:pt idx="147">
                <c:v>12.304820784826415</c:v>
              </c:pt>
            </c:numLit>
          </c:xVal>
          <c:yVal>
            <c:numLit>
              <c:formatCode>General</c:formatCode>
              <c:ptCount val="149"/>
              <c:pt idx="0">
                <c:v>740</c:v>
              </c:pt>
              <c:pt idx="1">
                <c:v>739.84522997480099</c:v>
              </c:pt>
              <c:pt idx="2">
                <c:v>739.68557572469729</c:v>
              </c:pt>
              <c:pt idx="3">
                <c:v>739.52105456240849</c:v>
              </c:pt>
              <c:pt idx="4">
                <c:v>739.35166690904828</c:v>
              </c:pt>
              <c:pt idx="5">
                <c:v>739.17740362340624</c:v>
              </c:pt>
              <c:pt idx="6">
                <c:v>738.99824947052184</c:v>
              </c:pt>
              <c:pt idx="7">
                <c:v>738.81418492299792</c:v>
              </c:pt>
              <c:pt idx="8">
                <c:v>738.62518715982083</c:v>
              </c:pt>
              <c:pt idx="9">
                <c:v>738.43123064529448</c:v>
              </c:pt>
              <c:pt idx="10">
                <c:v>738.23228747305097</c:v>
              </c:pt>
              <c:pt idx="11">
                <c:v>738.0283275710658</c:v>
              </c:pt>
              <c:pt idx="12">
                <c:v>737.81931882036986</c:v>
              </c:pt>
              <c:pt idx="13">
                <c:v>737.60522711778628</c:v>
              </c:pt>
              <c:pt idx="14">
                <c:v>737.38601640083891</c:v>
              </c:pt>
              <c:pt idx="15">
                <c:v>737.16164864606719</c:v>
              </c:pt>
              <c:pt idx="16">
                <c:v>736.93208384785498</c:v>
              </c:pt>
              <c:pt idx="17">
                <c:v>736.6972799823975</c:v>
              </c:pt>
              <c:pt idx="18">
                <c:v>736.45719295981041</c:v>
              </c:pt>
              <c:pt idx="19">
                <c:v>736.20454826983087</c:v>
              </c:pt>
              <c:pt idx="20">
                <c:v>735.94619375575064</c:v>
              </c:pt>
              <c:pt idx="21">
                <c:v>735.68207575183305</c:v>
              </c:pt>
              <c:pt idx="22">
                <c:v>735.41214061664357</c:v>
              </c:pt>
              <c:pt idx="23">
                <c:v>735.11342711974783</c:v>
              </c:pt>
              <c:pt idx="24">
                <c:v>734.88395534133303</c:v>
              </c:pt>
              <c:pt idx="25">
                <c:v>734.65026502624676</c:v>
              </c:pt>
              <c:pt idx="26">
                <c:v>734.41230628955657</c:v>
              </c:pt>
              <c:pt idx="27">
                <c:v>734.17003033347044</c:v>
              </c:pt>
              <c:pt idx="28">
                <c:v>733.92338977581471</c:v>
              </c:pt>
              <c:pt idx="29">
                <c:v>733.67233901791133</c:v>
              </c:pt>
              <c:pt idx="30">
                <c:v>733.41683465476467</c:v>
              </c:pt>
              <c:pt idx="31">
                <c:v>733.15683593050323</c:v>
              </c:pt>
              <c:pt idx="32">
                <c:v>732.89230524193999</c:v>
              </c:pt>
              <c:pt idx="33">
                <c:v>732.57014397538262</c:v>
              </c:pt>
              <c:pt idx="34">
                <c:v>732.35019716316799</c:v>
              </c:pt>
              <c:pt idx="35">
                <c:v>732.12677672852692</c:v>
              </c:pt>
              <c:pt idx="36">
                <c:v>731.89983675099029</c:v>
              </c:pt>
              <c:pt idx="37">
                <c:v>731.66933337616581</c:v>
              </c:pt>
              <c:pt idx="38">
                <c:v>731.43522525192498</c:v>
              </c:pt>
              <c:pt idx="39">
                <c:v>731.19747401268694</c:v>
              </c:pt>
              <c:pt idx="40">
                <c:v>730.95604481510929</c:v>
              </c:pt>
              <c:pt idx="41">
                <c:v>730.60804851120554</c:v>
              </c:pt>
              <c:pt idx="42">
                <c:v>730.42930174051548</c:v>
              </c:pt>
              <c:pt idx="43">
                <c:v>730.24858019036958</c:v>
              </c:pt>
              <c:pt idx="44">
                <c:v>730.0658865281938</c:v>
              </c:pt>
              <c:pt idx="45">
                <c:v>729.88122650526657</c:v>
              </c:pt>
              <c:pt idx="46">
                <c:v>729.69460919973949</c:v>
              </c:pt>
              <c:pt idx="47">
                <c:v>729.50604726597896</c:v>
              </c:pt>
              <c:pt idx="48">
                <c:v>729.31555718871959</c:v>
              </c:pt>
              <c:pt idx="49">
                <c:v>729.12315954019073</c:v>
              </c:pt>
              <c:pt idx="50">
                <c:v>728.92887923806074</c:v>
              </c:pt>
              <c:pt idx="51">
                <c:v>728.39415084007635</c:v>
              </c:pt>
              <c:pt idx="52">
                <c:v>728.1245821224154</c:v>
              </c:pt>
              <c:pt idx="53">
                <c:v>727.85567999206671</c:v>
              </c:pt>
              <c:pt idx="54">
                <c:v>727.58773248962154</c:v>
              </c:pt>
              <c:pt idx="55">
                <c:v>727.32102177530908</c:v>
              </c:pt>
              <c:pt idx="56">
                <c:v>727.05582177238841</c:v>
              </c:pt>
              <c:pt idx="57">
                <c:v>726.79239600556252</c:v>
              </c:pt>
              <c:pt idx="58">
                <c:v>726.53099567919321</c:v>
              </c:pt>
              <c:pt idx="59">
                <c:v>726.27185802956762</c:v>
              </c:pt>
              <c:pt idx="60">
                <c:v>726.01520497404942</c:v>
              </c:pt>
              <c:pt idx="61">
                <c:v>725.76124206839154</c:v>
              </c:pt>
              <c:pt idx="62">
                <c:v>725.51015777246789</c:v>
              </c:pt>
              <c:pt idx="63">
                <c:v>725.26212301479666</c:v>
              </c:pt>
              <c:pt idx="64">
                <c:v>725.01729103784135</c:v>
              </c:pt>
              <c:pt idx="65">
                <c:v>724.77579749952724</c:v>
              </c:pt>
              <c:pt idx="66">
                <c:v>724.52475526200135</c:v>
              </c:pt>
              <c:pt idx="67">
                <c:v>724.26314609860651</c:v>
              </c:pt>
              <c:pt idx="68">
                <c:v>723.98975930455458</c:v>
              </c:pt>
              <c:pt idx="69">
                <c:v>723.70313692124409</c:v>
              </c:pt>
              <c:pt idx="70">
                <c:v>723.40149724765399</c:v>
              </c:pt>
              <c:pt idx="71">
                <c:v>723.08262515215472</c:v>
              </c:pt>
              <c:pt idx="72">
                <c:v>722.74370978453783</c:v>
              </c:pt>
              <c:pt idx="73">
                <c:v>722.38109536649074</c:v>
              </c:pt>
              <c:pt idx="74">
                <c:v>721.9898808669036</c:v>
              </c:pt>
              <c:pt idx="75">
                <c:v>721.56324004736155</c:v>
              </c:pt>
              <c:pt idx="76">
                <c:v>721.09118169619273</c:v>
              </c:pt>
              <c:pt idx="77">
                <c:v>720.81511615731949</c:v>
              </c:pt>
              <c:pt idx="78">
                <c:v>720.51745269794378</c:v>
              </c:pt>
              <c:pt idx="79">
                <c:v>720.1928946623168</c:v>
              </c:pt>
              <c:pt idx="80">
                <c:v>719.83360788731829</c:v>
              </c:pt>
              <c:pt idx="81">
                <c:v>719.42715106849721</c:v>
              </c:pt>
              <c:pt idx="82">
                <c:v>718.95162681876616</c:v>
              </c:pt>
              <c:pt idx="83">
                <c:v>718.36169179298133</c:v>
              </c:pt>
              <c:pt idx="84">
                <c:v>717.53054782413119</c:v>
              </c:pt>
              <c:pt idx="85">
                <c:v>715.8309247162091</c:v>
              </c:pt>
              <c:pt idx="86">
                <c:v>714.67715682965775</c:v>
              </c:pt>
              <c:pt idx="87">
                <c:v>714.13920751840476</c:v>
              </c:pt>
              <c:pt idx="88">
                <c:v>713.70195710316921</c:v>
              </c:pt>
              <c:pt idx="89">
                <c:v>713.32093057534075</c:v>
              </c:pt>
              <c:pt idx="90">
                <c:v>712.97748093071857</c:v>
              </c:pt>
              <c:pt idx="91">
                <c:v>712.66155449258451</c:v>
              </c:pt>
              <c:pt idx="92">
                <c:v>712.36696202226665</c:v>
              </c:pt>
              <c:pt idx="93">
                <c:v>712.08955995434064</c:v>
              </c:pt>
              <c:pt idx="94">
                <c:v>711.82640754809631</c:v>
              </c:pt>
              <c:pt idx="95">
                <c:v>711.57532569554439</c:v>
              </c:pt>
              <c:pt idx="96">
                <c:v>711.33464501048911</c:v>
              </c:pt>
              <c:pt idx="97">
                <c:v>711.10305225250454</c:v>
              </c:pt>
              <c:pt idx="98">
                <c:v>710.87949176628433</c:v>
              </c:pt>
              <c:pt idx="99">
                <c:v>710.66309955270924</c:v>
              </c:pt>
              <c:pt idx="100">
                <c:v>710.45315763449742</c:v>
              </c:pt>
              <c:pt idx="101">
                <c:v>710.24906154931921</c:v>
              </c:pt>
              <c:pt idx="102">
                <c:v>710.05029662037441</c:v>
              </c:pt>
              <c:pt idx="103">
                <c:v>709.85642026459539</c:v>
              </c:pt>
              <c:pt idx="104">
                <c:v>709.66704855700459</c:v>
              </c:pt>
              <c:pt idx="105">
                <c:v>709.48184586050752</c:v>
              </c:pt>
              <c:pt idx="106">
                <c:v>708.6685050061036</c:v>
              </c:pt>
              <c:pt idx="107">
                <c:v>708.50297136906295</c:v>
              </c:pt>
              <c:pt idx="108">
                <c:v>707.77491534294484</c:v>
              </c:pt>
              <c:pt idx="109">
                <c:v>707.09822167114089</c:v>
              </c:pt>
              <c:pt idx="110">
                <c:v>706.46208207123482</c:v>
              </c:pt>
              <c:pt idx="111">
                <c:v>705.85910199514217</c:v>
              </c:pt>
              <c:pt idx="112">
                <c:v>705.28395067334668</c:v>
              </c:pt>
              <c:pt idx="113">
                <c:v>704.73263133509261</c:v>
              </c:pt>
              <c:pt idx="114">
                <c:v>704.20205433682702</c:v>
              </c:pt>
              <c:pt idx="115">
                <c:v>703.68977196750006</c:v>
              </c:pt>
              <c:pt idx="116">
                <c:v>703.19380564935329</c:v>
              </c:pt>
              <c:pt idx="117">
                <c:v>702.71252889292521</c:v>
              </c:pt>
              <c:pt idx="118">
                <c:v>702.24458542482773</c:v>
              </c:pt>
              <c:pt idx="119">
                <c:v>701.78883034194644</c:v>
              </c:pt>
              <c:pt idx="120">
                <c:v>701.34428682109149</c:v>
              </c:pt>
              <c:pt idx="121">
                <c:v>700.91011362431652</c:v>
              </c:pt>
              <c:pt idx="122">
                <c:v>700.48558027415993</c:v>
              </c:pt>
              <c:pt idx="123">
                <c:v>700.0700477912352</c:v>
              </c:pt>
              <c:pt idx="124">
                <c:v>699.66295353973794</c:v>
              </c:pt>
              <c:pt idx="125">
                <c:v>699.26379915628513</c:v>
              </c:pt>
              <c:pt idx="126">
                <c:v>698.87214082695289</c:v>
              </c:pt>
              <c:pt idx="127">
                <c:v>698.48758137625384</c:v>
              </c:pt>
              <c:pt idx="128">
                <c:v>698.1097637709878</c:v>
              </c:pt>
              <c:pt idx="129">
                <c:v>697.7383657409631</c:v>
              </c:pt>
              <c:pt idx="130">
                <c:v>697.37309529013862</c:v>
              </c:pt>
              <c:pt idx="131">
                <c:v>697.01368692414451</c:v>
              </c:pt>
              <c:pt idx="132">
                <c:v>696.6598984590313</c:v>
              </c:pt>
              <c:pt idx="133">
                <c:v>696.31150830526849</c:v>
              </c:pt>
              <c:pt idx="134">
                <c:v>695.96831314315511</c:v>
              </c:pt>
              <c:pt idx="135">
                <c:v>695.63012592275061</c:v>
              </c:pt>
              <c:pt idx="136">
                <c:v>695.29677413458762</c:v>
              </c:pt>
              <c:pt idx="137">
                <c:v>694.96809830760867</c:v>
              </c:pt>
              <c:pt idx="138">
                <c:v>694.64395069887303</c:v>
              </c:pt>
              <c:pt idx="139">
                <c:v>694.32419414590129</c:v>
              </c:pt>
              <c:pt idx="140">
                <c:v>694.0087010576633</c:v>
              </c:pt>
              <c:pt idx="141">
                <c:v>693.69735252425801</c:v>
              </c:pt>
              <c:pt idx="142">
                <c:v>693.3900375286878</c:v>
              </c:pt>
              <c:pt idx="143">
                <c:v>693.08665224675747</c:v>
              </c:pt>
              <c:pt idx="144">
                <c:v>692.7870994233906</c:v>
              </c:pt>
              <c:pt idx="145">
                <c:v>692.49128781540719</c:v>
              </c:pt>
              <c:pt idx="146">
                <c:v>692.19913169233905</c:v>
              </c:pt>
              <c:pt idx="147">
                <c:v>691.91055038807622</c:v>
              </c:pt>
            </c:numLit>
          </c:yVal>
          <c:smooth val="1"/>
          <c:extLst>
            <c:ext xmlns:c16="http://schemas.microsoft.com/office/drawing/2014/chart" uri="{C3380CC4-5D6E-409C-BE32-E72D297353CC}">
              <c16:uniqueId val="{00000001-6693-4A23-8DAA-31C9A23E297D}"/>
            </c:ext>
          </c:extLst>
        </c:ser>
        <c:dLbls>
          <c:showLegendKey val="0"/>
          <c:showVal val="0"/>
          <c:showCatName val="0"/>
          <c:showSerName val="0"/>
          <c:showPercent val="0"/>
          <c:showBubbleSize val="0"/>
        </c:dLbls>
        <c:axId val="-1332151440"/>
        <c:axId val="-1332164496"/>
      </c:scatterChart>
      <c:valAx>
        <c:axId val="-1332151440"/>
        <c:scaling>
          <c:orientation val="minMax"/>
        </c:scaling>
        <c:delete val="0"/>
        <c:axPos val="b"/>
        <c:numFmt formatCode="General" sourceLinked="1"/>
        <c:majorTickMark val="out"/>
        <c:minorTickMark val="none"/>
        <c:tickLblPos val="nextTo"/>
        <c:crossAx val="-1332164496"/>
        <c:crosses val="autoZero"/>
        <c:crossBetween val="midCat"/>
      </c:valAx>
      <c:valAx>
        <c:axId val="-1332164496"/>
        <c:scaling>
          <c:orientation val="minMax"/>
        </c:scaling>
        <c:delete val="0"/>
        <c:axPos val="l"/>
        <c:majorGridlines/>
        <c:numFmt formatCode="General" sourceLinked="1"/>
        <c:majorTickMark val="out"/>
        <c:minorTickMark val="none"/>
        <c:tickLblPos val="nextTo"/>
        <c:crossAx val="-1332151440"/>
        <c:crosses val="autoZero"/>
        <c:crossBetween val="midCat"/>
      </c:valAx>
    </c:plotArea>
    <c:legend>
      <c:legendPos val="r"/>
      <c:layout>
        <c:manualLayout>
          <c:xMode val="edge"/>
          <c:yMode val="edge"/>
          <c:x val="0.79540370229051771"/>
          <c:y val="0.17530219195573526"/>
          <c:w val="0.16307667648414167"/>
          <c:h val="0.22194961792137621"/>
        </c:manualLayout>
      </c:layout>
      <c:overlay val="0"/>
    </c:legend>
    <c:plotVisOnly val="1"/>
    <c:dispBlanksAs val="gap"/>
    <c:showDLblsOverMax val="0"/>
  </c:chart>
  <c:printSettings>
    <c:headerFooter/>
    <c:pageMargins b="0.75000000000001121" l="0.70000000000000062" r="0.70000000000000062" t="0.75000000000001121" header="0.30000000000000032" footer="0.30000000000000032"/>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1"/>
  <mc:AlternateContent xmlns:mc="http://schemas.openxmlformats.org/markup-compatibility/2006">
    <mc:Choice xmlns:c14="http://schemas.microsoft.com/office/drawing/2007/8/2/chart" Requires="c14">
      <c14:style val="101"/>
    </mc:Choice>
    <mc:Fallback>
      <c:style val="1"/>
    </mc:Fallback>
  </mc:AlternateContent>
  <c:chart>
    <c:autoTitleDeleted val="1"/>
    <c:plotArea>
      <c:layout>
        <c:manualLayout>
          <c:layoutTarget val="inner"/>
          <c:xMode val="edge"/>
          <c:yMode val="edge"/>
          <c:x val="0.14519890895990945"/>
          <c:y val="0.15000912319115503"/>
          <c:w val="0.78818842214860063"/>
          <c:h val="0.64863306525188458"/>
        </c:manualLayout>
      </c:layout>
      <c:scatterChart>
        <c:scatterStyle val="smoothMarker"/>
        <c:varyColors val="0"/>
        <c:ser>
          <c:idx val="0"/>
          <c:order val="0"/>
          <c:tx>
            <c:v>Q-T</c:v>
          </c:tx>
          <c:spPr>
            <a:ln>
              <a:solidFill>
                <a:srgbClr val="0070C0"/>
              </a:solidFill>
            </a:ln>
          </c:spPr>
          <c:marker>
            <c:spPr>
              <a:ln>
                <a:solidFill>
                  <a:srgbClr val="0070C0"/>
                </a:solidFill>
              </a:ln>
            </c:spPr>
          </c:marker>
          <c:xVal>
            <c:numRef>
              <c:f>calculation2!$AJ$62:$AJ$209</c:f>
              <c:numCache>
                <c:formatCode>0.00_ </c:formatCode>
                <c:ptCount val="148"/>
                <c:pt idx="0">
                  <c:v>0.24203647610091406</c:v>
                </c:pt>
                <c:pt idx="1">
                  <c:v>0.33998074509798165</c:v>
                </c:pt>
                <c:pt idx="2">
                  <c:v>0.42958867187677297</c:v>
                </c:pt>
                <c:pt idx="3">
                  <c:v>0.51339884628385513</c:v>
                </c:pt>
                <c:pt idx="4">
                  <c:v>0.5930341625017197</c:v>
                </c:pt>
                <c:pt idx="5">
                  <c:v>0.66959582997063127</c:v>
                </c:pt>
                <c:pt idx="6">
                  <c:v>0.74386608987369429</c:v>
                </c:pt>
                <c:pt idx="7">
                  <c:v>0.81642122490892111</c:v>
                </c:pt>
                <c:pt idx="8">
                  <c:v>0.88769862791305876</c:v>
                </c:pt>
                <c:pt idx="9">
                  <c:v>0.95803865745336969</c:v>
                </c:pt>
                <c:pt idx="10">
                  <c:v>1.0277118606771469</c:v>
                </c:pt>
                <c:pt idx="11">
                  <c:v>1.0969373025280005</c:v>
                </c:pt>
                <c:pt idx="12">
                  <c:v>1.1658952755463055</c:v>
                </c:pt>
                <c:pt idx="13">
                  <c:v>1.234736339527079</c:v>
                </c:pt>
                <c:pt idx="14">
                  <c:v>1.3035878946297437</c:v>
                </c:pt>
                <c:pt idx="15">
                  <c:v>1.3725590549733313</c:v>
                </c:pt>
                <c:pt idx="16">
                  <c:v>1.4417443252488569</c:v>
                </c:pt>
                <c:pt idx="17">
                  <c:v>1.5112264177311907</c:v>
                </c:pt>
                <c:pt idx="18">
                  <c:v>1.581078441175338</c:v>
                </c:pt>
                <c:pt idx="19">
                  <c:v>1.6513656235481713</c:v>
                </c:pt>
                <c:pt idx="20">
                  <c:v>1.7221466839074215</c:v>
                </c:pt>
                <c:pt idx="21">
                  <c:v>1.7934749368504452</c:v>
                </c:pt>
                <c:pt idx="22">
                  <c:v>1.8653991907682699</c:v>
                </c:pt>
                <c:pt idx="23">
                  <c:v>1.9379644854570719</c:v>
                </c:pt>
                <c:pt idx="24">
                  <c:v>2.0112127033913203</c:v>
                </c:pt>
                <c:pt idx="25">
                  <c:v>2.0851830807880067</c:v>
                </c:pt>
                <c:pt idx="26">
                  <c:v>2.1599126385770568</c:v>
                </c:pt>
                <c:pt idx="27">
                  <c:v>2.2354365489181314</c:v>
                </c:pt>
                <c:pt idx="28">
                  <c:v>2.3117884495398742</c:v>
                </c:pt>
                <c:pt idx="29">
                  <c:v>2.3890007156242614</c:v>
                </c:pt>
                <c:pt idx="30">
                  <c:v>2.4671046970037187</c:v>
                </c:pt>
                <c:pt idx="31">
                  <c:v>2.5461309269296941</c:v>
                </c:pt>
                <c:pt idx="32">
                  <c:v>2.6261093074984103</c:v>
                </c:pt>
                <c:pt idx="33">
                  <c:v>2.7070692759016097</c:v>
                </c:pt>
                <c:pt idx="34">
                  <c:v>2.789039954948096</c:v>
                </c:pt>
                <c:pt idx="35">
                  <c:v>2.8720502907311474</c:v>
                </c:pt>
                <c:pt idx="36">
                  <c:v>2.956129179864365</c:v>
                </c:pt>
                <c:pt idx="37">
                  <c:v>3.0413055883490721</c:v>
                </c:pt>
                <c:pt idx="38">
                  <c:v>3.1276086638508525</c:v>
                </c:pt>
                <c:pt idx="39">
                  <c:v>3.2150678429368171</c:v>
                </c:pt>
                <c:pt idx="40">
                  <c:v>3.3037129546473745</c:v>
                </c:pt>
                <c:pt idx="41">
                  <c:v>3.371214808707681</c:v>
                </c:pt>
                <c:pt idx="42">
                  <c:v>3.4394185298962361</c:v>
                </c:pt>
                <c:pt idx="43">
                  <c:v>3.5083375188814649</c:v>
                </c:pt>
                <c:pt idx="44">
                  <c:v>3.5779854150482833</c:v>
                </c:pt>
                <c:pt idx="45">
                  <c:v>3.6483761209535346</c:v>
                </c:pt>
                <c:pt idx="46">
                  <c:v>3.7195238271423312</c:v>
                </c:pt>
                <c:pt idx="47">
                  <c:v>3.7914430374575558</c:v>
                </c:pt>
                <c:pt idx="48">
                  <c:v>3.8641485949758287</c:v>
                </c:pt>
                <c:pt idx="49">
                  <c:v>3.9376557087055901</c:v>
                </c:pt>
                <c:pt idx="50">
                  <c:v>4.011979981186796</c:v>
                </c:pt>
                <c:pt idx="51">
                  <c:v>4.0871374371371338</c:v>
                </c:pt>
                <c:pt idx="52">
                  <c:v>4.1631445532963784</c:v>
                </c:pt>
                <c:pt idx="53">
                  <c:v>4.2400182896291891</c:v>
                </c:pt>
                <c:pt idx="54">
                  <c:v>4.31777612205655</c:v>
                </c:pt>
                <c:pt idx="55">
                  <c:v>4.3964360768983539</c:v>
                </c:pt>
                <c:pt idx="56">
                  <c:v>4.476016767223479</c:v>
                </c:pt>
                <c:pt idx="57">
                  <c:v>4.5565374313201668</c:v>
                </c:pt>
                <c:pt idx="58">
                  <c:v>4.6380179735181652</c:v>
                </c:pt>
                <c:pt idx="59">
                  <c:v>4.7204790076157446</c:v>
                </c:pt>
                <c:pt idx="60">
                  <c:v>4.8039419031894655</c:v>
                </c:pt>
                <c:pt idx="61">
                  <c:v>4.8884288350927587</c:v>
                </c:pt>
                <c:pt idx="62">
                  <c:v>4.9739628364818902</c:v>
                </c:pt>
                <c:pt idx="63">
                  <c:v>5.0605678557447922</c:v>
                </c:pt>
                <c:pt idx="64">
                  <c:v>5.1482688177507594</c:v>
                </c:pt>
                <c:pt idx="65">
                  <c:v>5.2370916898875217</c:v>
                </c:pt>
                <c:pt idx="66">
                  <c:v>5.327063553408018</c:v>
                </c:pt>
                <c:pt idx="67">
                  <c:v>5.4182126806732835</c:v>
                </c:pt>
                <c:pt idx="68">
                  <c:v>5.5105686189517167</c:v>
                </c:pt>
                <c:pt idx="69">
                  <c:v>5.6041622815201482</c:v>
                </c:pt>
                <c:pt idx="70">
                  <c:v>5.6990260469108751</c:v>
                </c:pt>
                <c:pt idx="71">
                  <c:v>5.7951938672630234</c:v>
                </c:pt>
                <c:pt idx="72">
                  <c:v>5.8927013868697626</c:v>
                </c:pt>
                <c:pt idx="73">
                  <c:v>5.9915860721680323</c:v>
                </c:pt>
                <c:pt idx="74">
                  <c:v>6.0918873545989731</c:v>
                </c:pt>
                <c:pt idx="75">
                  <c:v>6.1600080694969215</c:v>
                </c:pt>
                <c:pt idx="76">
                  <c:v>6.2288003532082152</c:v>
                </c:pt>
                <c:pt idx="77">
                  <c:v>6.2982779073546684</c:v>
                </c:pt>
                <c:pt idx="78">
                  <c:v>6.3684549566540518</c:v>
                </c:pt>
                <c:pt idx="79">
                  <c:v>6.4393462788529776</c:v>
                </c:pt>
                <c:pt idx="80">
                  <c:v>6.5109672368957678</c:v>
                </c:pt>
                <c:pt idx="81">
                  <c:v>6.5833338135402153</c:v>
                </c:pt>
                <c:pt idx="82">
                  <c:v>6.6564626486549443</c:v>
                </c:pt>
                <c:pt idx="83">
                  <c:v>6.7303710794600979</c:v>
                </c:pt>
                <c:pt idx="84">
                  <c:v>6.8050771840039079</c:v>
                </c:pt>
                <c:pt idx="85">
                  <c:v>6.8805998282026586</c:v>
                </c:pt>
                <c:pt idx="86">
                  <c:v>6.9569587168114557</c:v>
                </c:pt>
                <c:pt idx="87">
                  <c:v>7.034174448739007</c:v>
                </c:pt>
                <c:pt idx="88">
                  <c:v>7.1122685771717462</c:v>
                </c:pt>
                <c:pt idx="89">
                  <c:v>7.1912636750330989</c:v>
                </c:pt>
                <c:pt idx="90">
                  <c:v>7.2711834063728649</c:v>
                </c:pt>
                <c:pt idx="91">
                  <c:v>7.3520526043619148</c:v>
                </c:pt>
                <c:pt idx="92">
                  <c:v>7.4338973566603732</c:v>
                </c:pt>
                <c:pt idx="93">
                  <c:v>7.5167450990353775</c:v>
                </c:pt>
                <c:pt idx="94">
                  <c:v>7.6006247182304936</c:v>
                </c:pt>
                <c:pt idx="95">
                  <c:v>7.6855666652362524</c:v>
                </c:pt>
                <c:pt idx="96">
                  <c:v>7.7716030802842102</c:v>
                </c:pt>
                <c:pt idx="97">
                  <c:v>7.8587679310906351</c:v>
                </c:pt>
                <c:pt idx="98">
                  <c:v>7.9470971661168139</c:v>
                </c:pt>
                <c:pt idx="99">
                  <c:v>8.0366288848988265</c:v>
                </c:pt>
                <c:pt idx="100">
                  <c:v>8.1274035278404302</c:v>
                </c:pt>
                <c:pt idx="101">
                  <c:v>8.2194640882700867</c:v>
                </c:pt>
                <c:pt idx="102">
                  <c:v>8.3128563500533321</c:v>
                </c:pt>
                <c:pt idx="103">
                  <c:v>8.4076291546434305</c:v>
                </c:pt>
                <c:pt idx="104">
                  <c:v>8.5038347021709786</c:v>
                </c:pt>
                <c:pt idx="105">
                  <c:v>8.6015288920492807</c:v>
                </c:pt>
                <c:pt idx="106">
                  <c:v>8.7007717096459096</c:v>
                </c:pt>
                <c:pt idx="107">
                  <c:v>8.8016276668961275</c:v>
                </c:pt>
                <c:pt idx="108">
                  <c:v>8.9041663063774052</c:v>
                </c:pt>
                <c:pt idx="109">
                  <c:v>9.0084627804174726</c:v>
                </c:pt>
                <c:pt idx="110">
                  <c:v>9.1145985193904835</c:v>
                </c:pt>
                <c:pt idx="111">
                  <c:v>9.2226620066255425</c:v>
                </c:pt>
                <c:pt idx="112">
                  <c:v>9.3327496815265008</c:v>
                </c:pt>
                <c:pt idx="113">
                  <c:v>9.4449669978734274</c:v>
                </c:pt>
                <c:pt idx="114">
                  <c:v>9.5594296712517899</c:v>
                </c:pt>
                <c:pt idx="115">
                  <c:v>9.6762651586972765</c:v>
                </c:pt>
                <c:pt idx="116">
                  <c:v>9.7956144257496707</c:v>
                </c:pt>
                <c:pt idx="117">
                  <c:v>9.8576551149864216</c:v>
                </c:pt>
                <c:pt idx="118">
                  <c:v>9.9204224238678123</c:v>
                </c:pt>
                <c:pt idx="119">
                  <c:v>9.9839408466447264</c:v>
                </c:pt>
                <c:pt idx="120">
                  <c:v>10.048236383505486</c:v>
                </c:pt>
                <c:pt idx="121">
                  <c:v>10.113336675338488</c:v>
                </c:pt>
                <c:pt idx="122">
                  <c:v>10.179271154469719</c:v>
                </c:pt>
                <c:pt idx="123">
                  <c:v>10.246071213754927</c:v>
                </c:pt>
                <c:pt idx="124">
                  <c:v>10.313770396837688</c:v>
                </c:pt>
                <c:pt idx="125">
                  <c:v>10.382404612907244</c:v>
                </c:pt>
                <c:pt idx="126">
                  <c:v>10.452012379929949</c:v>
                </c:pt>
                <c:pt idx="127">
                  <c:v>10.522635101112499</c:v>
                </c:pt>
                <c:pt idx="128">
                  <c:v>10.594317380324282</c:v>
                </c:pt>
                <c:pt idx="129">
                  <c:v>10.667107383410906</c:v>
                </c:pt>
                <c:pt idx="130">
                  <c:v>10.741057253836662</c:v>
                </c:pt>
                <c:pt idx="131">
                  <c:v>10.816223592990367</c:v>
                </c:pt>
                <c:pt idx="132">
                  <c:v>10.892668017895232</c:v>
                </c:pt>
                <c:pt idx="133">
                  <c:v>10.970457812138427</c:v>
                </c:pt>
                <c:pt idx="134">
                  <c:v>11.049666689801793</c:v>
                </c:pt>
                <c:pt idx="135">
                  <c:v>11.130375697331338</c:v>
                </c:pt>
                <c:pt idx="136">
                  <c:v>11.212674285055861</c:v>
                </c:pt>
                <c:pt idx="137">
                  <c:v>11.296661589048394</c:v>
                </c:pt>
                <c:pt idx="138">
                  <c:v>11.382447976077357</c:v>
                </c:pt>
                <c:pt idx="139">
                  <c:v>11.470156920756809</c:v>
                </c:pt>
                <c:pt idx="140">
                  <c:v>11.559927306511938</c:v>
                </c:pt>
                <c:pt idx="141">
                  <c:v>11.651916273375392</c:v>
                </c:pt>
                <c:pt idx="142">
                  <c:v>11.746302780118478</c:v>
                </c:pt>
                <c:pt idx="143">
                  <c:v>11.843292112339135</c:v>
                </c:pt>
                <c:pt idx="144">
                  <c:v>11.94312166228819</c:v>
                </c:pt>
                <c:pt idx="145">
                  <c:v>12.046068447401044</c:v>
                </c:pt>
                <c:pt idx="146">
                  <c:v>12.152459051180681</c:v>
                </c:pt>
              </c:numCache>
            </c:numRef>
          </c:xVal>
          <c:yVal>
            <c:numRef>
              <c:f>calculation2!$G$61:$G$208</c:f>
              <c:numCache>
                <c:formatCode>0.00_ </c:formatCode>
                <c:ptCount val="148"/>
                <c:pt idx="0">
                  <c:v>86.897131283814673</c:v>
                </c:pt>
                <c:pt idx="1">
                  <c:v>94.878482452899718</c:v>
                </c:pt>
                <c:pt idx="2">
                  <c:v>103.33668845788964</c:v>
                </c:pt>
                <c:pt idx="3">
                  <c:v>112.28576957843596</c:v>
                </c:pt>
                <c:pt idx="4">
                  <c:v>121.73975599199656</c:v>
                </c:pt>
                <c:pt idx="5">
                  <c:v>131.71268762913016</c:v>
                </c:pt>
                <c:pt idx="6">
                  <c:v>142.21861404036747</c:v>
                </c:pt>
                <c:pt idx="7">
                  <c:v>153.27159427349036</c:v>
                </c:pt>
                <c:pt idx="8">
                  <c:v>164.88569676016536</c:v>
                </c:pt>
                <c:pt idx="9">
                  <c:v>177.07499921104881</c:v>
                </c:pt>
                <c:pt idx="10">
                  <c:v>189.85358851853456</c:v>
                </c:pt>
                <c:pt idx="11">
                  <c:v>203.23556066649877</c:v>
                </c:pt>
                <c:pt idx="12">
                  <c:v>217.23502064629466</c:v>
                </c:pt>
                <c:pt idx="13">
                  <c:v>231.86608237854824</c:v>
                </c:pt>
                <c:pt idx="14">
                  <c:v>247.14286864025041</c:v>
                </c:pt>
                <c:pt idx="15">
                  <c:v>263.07951099658311</c:v>
                </c:pt>
                <c:pt idx="16">
                  <c:v>279.69014973722057</c:v>
                </c:pt>
                <c:pt idx="17">
                  <c:v>296.98893381670564</c:v>
                </c:pt>
                <c:pt idx="18">
                  <c:v>314.99002079849151</c:v>
                </c:pt>
                <c:pt idx="19">
                  <c:v>333.70757680249335</c:v>
                </c:pt>
                <c:pt idx="20">
                  <c:v>353.15577645575786</c:v>
                </c:pt>
                <c:pt idx="21">
                  <c:v>373.34880284612399</c:v>
                </c:pt>
                <c:pt idx="22">
                  <c:v>394.30084747859405</c:v>
                </c:pt>
                <c:pt idx="23">
                  <c:v>416.02611023419911</c:v>
                </c:pt>
                <c:pt idx="24">
                  <c:v>438.53879933122408</c:v>
                </c:pt>
                <c:pt idx="25">
                  <c:v>461.85313128864459</c:v>
                </c:pt>
                <c:pt idx="26">
                  <c:v>485.9833308915488</c:v>
                </c:pt>
                <c:pt idx="27">
                  <c:v>510.94363115844834</c:v>
                </c:pt>
                <c:pt idx="28">
                  <c:v>536.74827331041865</c:v>
                </c:pt>
                <c:pt idx="29">
                  <c:v>563.41150674181927</c:v>
                </c:pt>
                <c:pt idx="30">
                  <c:v>590.9475889926083</c:v>
                </c:pt>
                <c:pt idx="31">
                  <c:v>619.37078572208418</c:v>
                </c:pt>
                <c:pt idx="32">
                  <c:v>648.6953706839314</c:v>
                </c:pt>
                <c:pt idx="33">
                  <c:v>678.93562570266522</c:v>
                </c:pt>
                <c:pt idx="34">
                  <c:v>710.10584065114813</c:v>
                </c:pt>
                <c:pt idx="35">
                  <c:v>742.22031342929142</c:v>
                </c:pt>
                <c:pt idx="36">
                  <c:v>775.29334994381327</c:v>
                </c:pt>
                <c:pt idx="37">
                  <c:v>809.3392640889806</c:v>
                </c:pt>
                <c:pt idx="38">
                  <c:v>844.37237772827598</c:v>
                </c:pt>
                <c:pt idx="39">
                  <c:v>880.40702067699681</c:v>
                </c:pt>
                <c:pt idx="40">
                  <c:v>917.4575306856467</c:v>
                </c:pt>
                <c:pt idx="41">
                  <c:v>955.53825342415598</c:v>
                </c:pt>
                <c:pt idx="42">
                  <c:v>984.87046603898057</c:v>
                </c:pt>
                <c:pt idx="43">
                  <c:v>1014.8002144148969</c:v>
                </c:pt>
                <c:pt idx="44">
                  <c:v>1045.3336414978071</c:v>
                </c:pt>
                <c:pt idx="45">
                  <c:v>1076.4768934722917</c:v>
                </c:pt>
                <c:pt idx="46">
                  <c:v>1108.2361197600551</c:v>
                </c:pt>
                <c:pt idx="47">
                  <c:v>1140.6174730182854</c:v>
                </c:pt>
                <c:pt idx="48">
                  <c:v>1173.6271091382698</c:v>
                </c:pt>
                <c:pt idx="49">
                  <c:v>1207.2711872439218</c:v>
                </c:pt>
                <c:pt idx="50">
                  <c:v>1241.5558696904868</c:v>
                </c:pt>
                <c:pt idx="51">
                  <c:v>1276.4873220632596</c:v>
                </c:pt>
                <c:pt idx="52">
                  <c:v>1312.0717131764004</c:v>
                </c:pt>
                <c:pt idx="53">
                  <c:v>1348.3152150717831</c:v>
                </c:pt>
                <c:pt idx="54">
                  <c:v>1385.2240030179664</c:v>
                </c:pt>
                <c:pt idx="55">
                  <c:v>1422.8042555091145</c:v>
                </c:pt>
                <c:pt idx="56">
                  <c:v>1461.0621542640999</c:v>
                </c:pt>
                <c:pt idx="57">
                  <c:v>1500.0038842255824</c:v>
                </c:pt>
                <c:pt idx="58">
                  <c:v>1539.6356335591461</c:v>
                </c:pt>
                <c:pt idx="59">
                  <c:v>1579.9635936525308</c:v>
                </c:pt>
                <c:pt idx="60">
                  <c:v>1620.9939591148514</c:v>
                </c:pt>
                <c:pt idx="61">
                  <c:v>1662.7329277759609</c:v>
                </c:pt>
                <c:pt idx="62">
                  <c:v>1705.1867006856978</c:v>
                </c:pt>
                <c:pt idx="63">
                  <c:v>1748.3614821133838</c:v>
                </c:pt>
                <c:pt idx="64">
                  <c:v>1792.2634795471879</c:v>
                </c:pt>
                <c:pt idx="65">
                  <c:v>1836.8989036936339</c:v>
                </c:pt>
                <c:pt idx="66">
                  <c:v>1882.2739684771366</c:v>
                </c:pt>
                <c:pt idx="67">
                  <c:v>1928.3948910394915</c:v>
                </c:pt>
                <c:pt idx="68">
                  <c:v>1975.2678917395399</c:v>
                </c:pt>
                <c:pt idx="69">
                  <c:v>2022.899194152769</c:v>
                </c:pt>
                <c:pt idx="70">
                  <c:v>2071.2950250709937</c:v>
                </c:pt>
                <c:pt idx="71">
                  <c:v>2120.461614502035</c:v>
                </c:pt>
                <c:pt idx="72">
                  <c:v>2170.4051956694543</c:v>
                </c:pt>
                <c:pt idx="73">
                  <c:v>2221.1320050123568</c:v>
                </c:pt>
                <c:pt idx="74">
                  <c:v>2272.6482821851805</c:v>
                </c:pt>
                <c:pt idx="75">
                  <c:v>2324.9602700575006</c:v>
                </c:pt>
                <c:pt idx="76">
                  <c:v>2360.5025556538471</c:v>
                </c:pt>
                <c:pt idx="77">
                  <c:v>2396.4085352017009</c:v>
                </c:pt>
                <c:pt idx="78">
                  <c:v>2432.6801243353743</c:v>
                </c:pt>
                <c:pt idx="79">
                  <c:v>2469.3192396509598</c:v>
                </c:pt>
                <c:pt idx="80">
                  <c:v>2506.3277987066176</c:v>
                </c:pt>
                <c:pt idx="81">
                  <c:v>2543.7077200227977</c:v>
                </c:pt>
                <c:pt idx="82">
                  <c:v>2581.460923082459</c:v>
                </c:pt>
                <c:pt idx="83">
                  <c:v>2619.5893283313335</c:v>
                </c:pt>
                <c:pt idx="84">
                  <c:v>2658.0948571781623</c:v>
                </c:pt>
                <c:pt idx="85">
                  <c:v>2696.9794319949488</c:v>
                </c:pt>
                <c:pt idx="86">
                  <c:v>2736.244976117152</c:v>
                </c:pt>
                <c:pt idx="87">
                  <c:v>2775.8934138439668</c:v>
                </c:pt>
                <c:pt idx="88">
                  <c:v>2815.9266704385923</c:v>
                </c:pt>
                <c:pt idx="89">
                  <c:v>2856.3466721284676</c:v>
                </c:pt>
                <c:pt idx="90">
                  <c:v>2897.1553461054455</c:v>
                </c:pt>
                <c:pt idx="91">
                  <c:v>2938.3546205261887</c:v>
                </c:pt>
                <c:pt idx="92">
                  <c:v>2979.946424512239</c:v>
                </c:pt>
                <c:pt idx="93">
                  <c:v>3021.9326881504562</c:v>
                </c:pt>
                <c:pt idx="94">
                  <c:v>3064.315342493102</c:v>
                </c:pt>
                <c:pt idx="95">
                  <c:v>3107.096319558269</c:v>
                </c:pt>
                <c:pt idx="96">
                  <c:v>3150.2775523299997</c:v>
                </c:pt>
                <c:pt idx="97">
                  <c:v>3193.8609747585515</c:v>
                </c:pt>
                <c:pt idx="98">
                  <c:v>3237.8485217607536</c:v>
                </c:pt>
                <c:pt idx="99">
                  <c:v>3282.2421292202121</c:v>
                </c:pt>
                <c:pt idx="100">
                  <c:v>3327.0437339875098</c:v>
                </c:pt>
                <c:pt idx="101">
                  <c:v>3372.2552738805625</c:v>
                </c:pt>
                <c:pt idx="102">
                  <c:v>3417.8786876848289</c:v>
                </c:pt>
                <c:pt idx="103">
                  <c:v>3463.9159151536214</c:v>
                </c:pt>
                <c:pt idx="104">
                  <c:v>3510.3688970083272</c:v>
                </c:pt>
                <c:pt idx="105">
                  <c:v>3557.2395749386624</c:v>
                </c:pt>
                <c:pt idx="106">
                  <c:v>3604.529891603021</c:v>
                </c:pt>
                <c:pt idx="107">
                  <c:v>3652.2417906286341</c:v>
                </c:pt>
                <c:pt idx="108">
                  <c:v>3700.3772166119379</c:v>
                </c:pt>
                <c:pt idx="109">
                  <c:v>3748.9381151187904</c:v>
                </c:pt>
                <c:pt idx="110">
                  <c:v>3797.9264326847442</c:v>
                </c:pt>
                <c:pt idx="111">
                  <c:v>3847.3441168153554</c:v>
                </c:pt>
                <c:pt idx="112">
                  <c:v>3897.1931159863993</c:v>
                </c:pt>
                <c:pt idx="113">
                  <c:v>3947.4753796441996</c:v>
                </c:pt>
                <c:pt idx="114">
                  <c:v>3998.1928582058799</c:v>
                </c:pt>
                <c:pt idx="115">
                  <c:v>4049.3475030596355</c:v>
                </c:pt>
                <c:pt idx="116">
                  <c:v>4100.9412665650289</c:v>
                </c:pt>
                <c:pt idx="117">
                  <c:v>4152.976102053246</c:v>
                </c:pt>
                <c:pt idx="118">
                  <c:v>4179.7066366559302</c:v>
                </c:pt>
                <c:pt idx="119">
                  <c:v>4206.5539481073274</c:v>
                </c:pt>
                <c:pt idx="120">
                  <c:v>4233.5183107347402</c:v>
                </c:pt>
                <c:pt idx="121">
                  <c:v>4260.5999989968777</c:v>
                </c:pt>
                <c:pt idx="122">
                  <c:v>4287.7992874837864</c:v>
                </c:pt>
                <c:pt idx="123">
                  <c:v>4315.1164509169203</c:v>
                </c:pt>
                <c:pt idx="124">
                  <c:v>4342.5517641492725</c:v>
                </c:pt>
                <c:pt idx="125">
                  <c:v>4370.1055021652855</c:v>
                </c:pt>
                <c:pt idx="126">
                  <c:v>4397.7779400810086</c:v>
                </c:pt>
                <c:pt idx="127">
                  <c:v>4425.5693531440847</c:v>
                </c:pt>
                <c:pt idx="128">
                  <c:v>4453.4800167338353</c:v>
                </c:pt>
                <c:pt idx="129">
                  <c:v>4481.5102063612067</c:v>
                </c:pt>
                <c:pt idx="130">
                  <c:v>4509.6601976689844</c:v>
                </c:pt>
                <c:pt idx="131">
                  <c:v>4537.9302664316529</c:v>
                </c:pt>
                <c:pt idx="132">
                  <c:v>4566.3206885555455</c:v>
                </c:pt>
                <c:pt idx="133">
                  <c:v>4594.8317400789265</c:v>
                </c:pt>
                <c:pt idx="134">
                  <c:v>4623.4636971719392</c:v>
                </c:pt>
                <c:pt idx="135">
                  <c:v>4652.216836136683</c:v>
                </c:pt>
                <c:pt idx="136">
                  <c:v>4681.0914334072977</c:v>
                </c:pt>
                <c:pt idx="137">
                  <c:v>4710.0877655499589</c:v>
                </c:pt>
                <c:pt idx="138">
                  <c:v>4739.2061092629519</c:v>
                </c:pt>
                <c:pt idx="139">
                  <c:v>4768.4467413767097</c:v>
                </c:pt>
                <c:pt idx="140">
                  <c:v>4797.809938853864</c:v>
                </c:pt>
                <c:pt idx="141">
                  <c:v>4827.2959787892714</c:v>
                </c:pt>
                <c:pt idx="142">
                  <c:v>4856.9051384100367</c:v>
                </c:pt>
                <c:pt idx="143">
                  <c:v>4886.6376950756621</c:v>
                </c:pt>
                <c:pt idx="144">
                  <c:v>4916.4939262779599</c:v>
                </c:pt>
                <c:pt idx="145">
                  <c:v>4946.4741096411935</c:v>
                </c:pt>
                <c:pt idx="146">
                  <c:v>4976.5785229220801</c:v>
                </c:pt>
                <c:pt idx="147">
                  <c:v>5006.8074440098371</c:v>
                </c:pt>
              </c:numCache>
            </c:numRef>
          </c:yVal>
          <c:smooth val="1"/>
          <c:extLst>
            <c:ext xmlns:c16="http://schemas.microsoft.com/office/drawing/2014/chart" uri="{C3380CC4-5D6E-409C-BE32-E72D297353CC}">
              <c16:uniqueId val="{00000000-58E0-41C3-B546-B3FA544AB03D}"/>
            </c:ext>
          </c:extLst>
        </c:ser>
        <c:dLbls>
          <c:showLegendKey val="0"/>
          <c:showVal val="0"/>
          <c:showCatName val="0"/>
          <c:showSerName val="0"/>
          <c:showPercent val="0"/>
          <c:showBubbleSize val="0"/>
        </c:dLbls>
        <c:axId val="-1332162864"/>
        <c:axId val="-1332162320"/>
      </c:scatterChart>
      <c:valAx>
        <c:axId val="-1332162864"/>
        <c:scaling>
          <c:orientation val="minMax"/>
        </c:scaling>
        <c:delete val="0"/>
        <c:axPos val="b"/>
        <c:numFmt formatCode="0.00_ " sourceLinked="1"/>
        <c:majorTickMark val="out"/>
        <c:minorTickMark val="none"/>
        <c:tickLblPos val="nextTo"/>
        <c:crossAx val="-1332162320"/>
        <c:crosses val="autoZero"/>
        <c:crossBetween val="midCat"/>
      </c:valAx>
      <c:valAx>
        <c:axId val="-1332162320"/>
        <c:scaling>
          <c:orientation val="minMax"/>
        </c:scaling>
        <c:delete val="0"/>
        <c:axPos val="l"/>
        <c:majorGridlines/>
        <c:numFmt formatCode="0.00_ " sourceLinked="1"/>
        <c:majorTickMark val="out"/>
        <c:minorTickMark val="none"/>
        <c:tickLblPos val="nextTo"/>
        <c:crossAx val="-1332162864"/>
        <c:crosses val="autoZero"/>
        <c:crossBetween val="midCat"/>
      </c:valAx>
    </c:plotArea>
    <c:legend>
      <c:legendPos val="r"/>
      <c:overlay val="0"/>
    </c:legend>
    <c:plotVisOnly val="1"/>
    <c:dispBlanksAs val="gap"/>
    <c:showDLblsOverMax val="0"/>
  </c:chart>
  <c:printSettings>
    <c:headerFooter/>
    <c:pageMargins b="0.75000000000001121" l="0.70000000000000062" r="0.70000000000000062" t="0.75000000000001121" header="0.30000000000000032" footer="0.30000000000000032"/>
    <c:pageSetup/>
  </c:printSettings>
  <c:userShapes r:id="rId1"/>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scatterChart>
        <c:scatterStyle val="smoothMarker"/>
        <c:varyColors val="0"/>
        <c:ser>
          <c:idx val="0"/>
          <c:order val="0"/>
          <c:xVal>
            <c:numRef>
              <c:f>Sheet1!$J$12:$J$30</c:f>
              <c:numCache>
                <c:formatCode>General</c:formatCode>
                <c:ptCount val="19"/>
                <c:pt idx="0">
                  <c:v>1.81741767665868E-3</c:v>
                </c:pt>
                <c:pt idx="1">
                  <c:v>4.00740597703238E-2</c:v>
                </c:pt>
                <c:pt idx="2">
                  <c:v>5.3613821461430998E-3</c:v>
                </c:pt>
                <c:pt idx="3">
                  <c:v>4.3708895123641199E-2</c:v>
                </c:pt>
                <c:pt idx="4">
                  <c:v>8.2147278984972205E-2</c:v>
                </c:pt>
                <c:pt idx="5">
                  <c:v>0.19337324079648299</c:v>
                </c:pt>
                <c:pt idx="6">
                  <c:v>0.34140191056033298</c:v>
                </c:pt>
                <c:pt idx="7">
                  <c:v>0.562399900042028</c:v>
                </c:pt>
                <c:pt idx="8">
                  <c:v>0.82001885570839494</c:v>
                </c:pt>
                <c:pt idx="9">
                  <c:v>1.07736519872326</c:v>
                </c:pt>
                <c:pt idx="10">
                  <c:v>1.48119540647682</c:v>
                </c:pt>
                <c:pt idx="11">
                  <c:v>1.92146483864739</c:v>
                </c:pt>
                <c:pt idx="12">
                  <c:v>2.3980826243511202</c:v>
                </c:pt>
                <c:pt idx="13">
                  <c:v>3.0575326283267299</c:v>
                </c:pt>
                <c:pt idx="14">
                  <c:v>3.7899519520201701</c:v>
                </c:pt>
                <c:pt idx="15">
                  <c:v>4.5223712757136196</c:v>
                </c:pt>
                <c:pt idx="16">
                  <c:v>5.4374410759112601</c:v>
                </c:pt>
                <c:pt idx="17">
                  <c:v>6.3890409714097496</c:v>
                </c:pt>
                <c:pt idx="18">
                  <c:v>7.0481274918500203</c:v>
                </c:pt>
              </c:numCache>
            </c:numRef>
          </c:xVal>
          <c:yVal>
            <c:numRef>
              <c:f>Sheet1!$K$12:$K$30</c:f>
              <c:numCache>
                <c:formatCode>General</c:formatCode>
                <c:ptCount val="19"/>
                <c:pt idx="0">
                  <c:v>1460.4900723559413</c:v>
                </c:pt>
                <c:pt idx="1">
                  <c:v>1462.3810954485045</c:v>
                </c:pt>
                <c:pt idx="2">
                  <c:v>1464.3707134500266</c:v>
                </c:pt>
                <c:pt idx="3">
                  <c:v>1466.3612401603871</c:v>
                </c:pt>
                <c:pt idx="4">
                  <c:v>1468.4512704885447</c:v>
                </c:pt>
                <c:pt idx="5">
                  <c:v>1470.2436986721491</c:v>
                </c:pt>
                <c:pt idx="6">
                  <c:v>1472.3350920635642</c:v>
                </c:pt>
                <c:pt idx="7">
                  <c:v>1474.3278905460204</c:v>
                </c:pt>
                <c:pt idx="8">
                  <c:v>1476.420647000693</c:v>
                </c:pt>
                <c:pt idx="9">
                  <c:v>1478.2148926019743</c:v>
                </c:pt>
                <c:pt idx="10">
                  <c:v>1480.4089700921204</c:v>
                </c:pt>
                <c:pt idx="11">
                  <c:v>1482.5039983188888</c:v>
                </c:pt>
                <c:pt idx="12">
                  <c:v>1484.400473664482</c:v>
                </c:pt>
                <c:pt idx="13">
                  <c:v>1486.4982280177653</c:v>
                </c:pt>
                <c:pt idx="14">
                  <c:v>1488.4973874620898</c:v>
                </c:pt>
                <c:pt idx="15">
                  <c:v>1490.4965469064143</c:v>
                </c:pt>
                <c:pt idx="16">
                  <c:v>1492.4979781228346</c:v>
                </c:pt>
                <c:pt idx="17">
                  <c:v>1494.4998636936741</c:v>
                </c:pt>
                <c:pt idx="18">
                  <c:v>1496.1996035757693</c:v>
                </c:pt>
              </c:numCache>
            </c:numRef>
          </c:yVal>
          <c:smooth val="1"/>
          <c:extLst>
            <c:ext xmlns:c16="http://schemas.microsoft.com/office/drawing/2014/chart" uri="{C3380CC4-5D6E-409C-BE32-E72D297353CC}">
              <c16:uniqueId val="{00000000-60C1-4C92-B68F-3C8A0E73A044}"/>
            </c:ext>
          </c:extLst>
        </c:ser>
        <c:dLbls>
          <c:showLegendKey val="0"/>
          <c:showVal val="0"/>
          <c:showCatName val="0"/>
          <c:showSerName val="0"/>
          <c:showPercent val="0"/>
          <c:showBubbleSize val="0"/>
        </c:dLbls>
        <c:axId val="-1332161776"/>
        <c:axId val="-1658543600"/>
      </c:scatterChart>
      <c:valAx>
        <c:axId val="-1332161776"/>
        <c:scaling>
          <c:orientation val="minMax"/>
        </c:scaling>
        <c:delete val="0"/>
        <c:axPos val="b"/>
        <c:numFmt formatCode="General" sourceLinked="1"/>
        <c:majorTickMark val="out"/>
        <c:minorTickMark val="none"/>
        <c:tickLblPos val="nextTo"/>
        <c:crossAx val="-1658543600"/>
        <c:crosses val="autoZero"/>
        <c:crossBetween val="midCat"/>
      </c:valAx>
      <c:valAx>
        <c:axId val="-1658543600"/>
        <c:scaling>
          <c:orientation val="minMax"/>
        </c:scaling>
        <c:delete val="0"/>
        <c:axPos val="l"/>
        <c:majorGridlines/>
        <c:numFmt formatCode="General" sourceLinked="1"/>
        <c:majorTickMark val="out"/>
        <c:minorTickMark val="none"/>
        <c:tickLblPos val="nextTo"/>
        <c:crossAx val="-1332161776"/>
        <c:crosses val="autoZero"/>
        <c:crossBetween val="midCat"/>
      </c:valAx>
    </c:plotArea>
    <c:legend>
      <c:legendPos val="r"/>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scatterChart>
        <c:scatterStyle val="smoothMarker"/>
        <c:varyColors val="0"/>
        <c:ser>
          <c:idx val="0"/>
          <c:order val="0"/>
          <c:spPr>
            <a:ln w="19050" cap="rnd">
              <a:solidFill>
                <a:schemeClr val="accent1"/>
              </a:solidFill>
              <a:round/>
            </a:ln>
            <a:effectLst/>
          </c:spPr>
          <c:marker>
            <c:symbol val="none"/>
          </c:marker>
          <c:trendline>
            <c:spPr>
              <a:ln w="19050" cap="rnd">
                <a:solidFill>
                  <a:schemeClr val="accent1"/>
                </a:solidFill>
                <a:prstDash val="sysDot"/>
              </a:ln>
              <a:effectLst/>
            </c:spPr>
            <c:trendlineType val="poly"/>
            <c:order val="2"/>
            <c:dispRSqr val="1"/>
            <c:dispEq val="1"/>
            <c:trendlineLbl>
              <c:layout>
                <c:manualLayout>
                  <c:x val="-0.24213057742782151"/>
                  <c:y val="4.5370370370370373E-2"/>
                </c:manualLayout>
              </c:layout>
              <c:numFmt formatCode="General" sourceLinked="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trendlineLbl>
          </c:trendline>
          <c:xVal>
            <c:numRef>
              <c:f>Sheet1!$Y$8:$Y$19</c:f>
              <c:numCache>
                <c:formatCode>General</c:formatCode>
                <c:ptCount val="12"/>
                <c:pt idx="0">
                  <c:v>1477.55</c:v>
                </c:pt>
                <c:pt idx="1">
                  <c:v>1478.65</c:v>
                </c:pt>
                <c:pt idx="2">
                  <c:v>1480.65</c:v>
                </c:pt>
                <c:pt idx="3">
                  <c:v>1482.65</c:v>
                </c:pt>
                <c:pt idx="4">
                  <c:v>1484.65</c:v>
                </c:pt>
                <c:pt idx="5">
                  <c:v>1486.65</c:v>
                </c:pt>
                <c:pt idx="6">
                  <c:v>1488.65</c:v>
                </c:pt>
                <c:pt idx="7">
                  <c:v>1490.65</c:v>
                </c:pt>
                <c:pt idx="8">
                  <c:v>1492.65</c:v>
                </c:pt>
                <c:pt idx="9">
                  <c:v>1494.65</c:v>
                </c:pt>
                <c:pt idx="10">
                  <c:v>1496.65</c:v>
                </c:pt>
                <c:pt idx="11">
                  <c:v>1497.65</c:v>
                </c:pt>
              </c:numCache>
            </c:numRef>
          </c:xVal>
          <c:yVal>
            <c:numRef>
              <c:f>Sheet1!$Z$8:$Z$19</c:f>
              <c:numCache>
                <c:formatCode>General</c:formatCode>
                <c:ptCount val="12"/>
                <c:pt idx="0">
                  <c:v>0</c:v>
                </c:pt>
                <c:pt idx="1">
                  <c:v>6.3800000000000008</c:v>
                </c:pt>
                <c:pt idx="2">
                  <c:v>28.58</c:v>
                </c:pt>
                <c:pt idx="3">
                  <c:v>62.980000000000004</c:v>
                </c:pt>
                <c:pt idx="4">
                  <c:v>111.18</c:v>
                </c:pt>
                <c:pt idx="5">
                  <c:v>172.68</c:v>
                </c:pt>
                <c:pt idx="6">
                  <c:v>245.58</c:v>
                </c:pt>
                <c:pt idx="7">
                  <c:v>330.88</c:v>
                </c:pt>
                <c:pt idx="8">
                  <c:v>428.17999999999995</c:v>
                </c:pt>
                <c:pt idx="9">
                  <c:v>537.07999999999993</c:v>
                </c:pt>
                <c:pt idx="10">
                  <c:v>661.18</c:v>
                </c:pt>
                <c:pt idx="11">
                  <c:v>732.18</c:v>
                </c:pt>
              </c:numCache>
            </c:numRef>
          </c:yVal>
          <c:smooth val="1"/>
          <c:extLst>
            <c:ext xmlns:c16="http://schemas.microsoft.com/office/drawing/2014/chart" uri="{C3380CC4-5D6E-409C-BE32-E72D297353CC}">
              <c16:uniqueId val="{00000001-8BE0-4396-A7AA-A9FD146448F8}"/>
            </c:ext>
          </c:extLst>
        </c:ser>
        <c:dLbls>
          <c:showLegendKey val="0"/>
          <c:showVal val="0"/>
          <c:showCatName val="0"/>
          <c:showSerName val="0"/>
          <c:showPercent val="0"/>
          <c:showBubbleSize val="0"/>
        </c:dLbls>
        <c:axId val="-1658001872"/>
        <c:axId val="-1659286944"/>
      </c:scatterChart>
      <c:valAx>
        <c:axId val="-1658001872"/>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659286944"/>
        <c:crosses val="autoZero"/>
        <c:crossBetween val="midCat"/>
      </c:valAx>
      <c:valAx>
        <c:axId val="-165928694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crossAx val="-1658001872"/>
        <c:crosses val="autoZero"/>
        <c:crossBetween val="midCat"/>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GBox"/>
</file>

<file path=xl/ctrlProps/ctrlProp2.xml><?xml version="1.0" encoding="utf-8"?>
<formControlPr xmlns="http://schemas.microsoft.com/office/spreadsheetml/2009/9/main" objectType="GBox"/>
</file>

<file path=xl/ctrlProps/ctrlProp3.xml><?xml version="1.0" encoding="utf-8"?>
<formControlPr xmlns="http://schemas.microsoft.com/office/spreadsheetml/2009/9/main" objectType="GBox"/>
</file>

<file path=xl/ctrlProps/ctrlProp4.xml><?xml version="1.0" encoding="utf-8"?>
<formControlPr xmlns="http://schemas.microsoft.com/office/spreadsheetml/2009/9/main" objectType="GBox"/>
</file>

<file path=xl/ctrlProps/ctrlProp5.xml><?xml version="1.0" encoding="utf-8"?>
<formControlPr xmlns="http://schemas.microsoft.com/office/spreadsheetml/2009/9/main" objectType="GBox"/>
</file>

<file path=xl/ctrlProps/ctrlProp6.xml><?xml version="1.0" encoding="utf-8"?>
<formControlPr xmlns="http://schemas.microsoft.com/office/spreadsheetml/2009/9/main" objectType="GBox"/>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Radio" checked="Checked" firstButton="1" lockText="1" noThreeD="1"/>
</file>

<file path=xl/ctrlProps/ctrlProp10.xml><?xml version="1.0" encoding="utf-8"?>
<formControlPr xmlns="http://schemas.microsoft.com/office/spreadsheetml/2009/9/main" objectType="Radio" lockText="1" noThreeD="1"/>
</file>

<file path=xl/ctrlProps/ctrlProp11.xml><?xml version="1.0" encoding="utf-8"?>
<formControlPr xmlns="http://schemas.microsoft.com/office/spreadsheetml/2009/9/main" objectType="Radio" checked="Checked" firstButton="1"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GBox"/>
</file>

<file path=xl/ctrlProps/ctrlProp14.xml><?xml version="1.0" encoding="utf-8"?>
<formControlPr xmlns="http://schemas.microsoft.com/office/spreadsheetml/2009/9/main" objectType="Radio" firstButton="1" lockText="1" noThreeD="1"/>
</file>

<file path=xl/ctrlProps/ctrlProp15.xml><?xml version="1.0" encoding="utf-8"?>
<formControlPr xmlns="http://schemas.microsoft.com/office/spreadsheetml/2009/9/main" objectType="Radio" checked="Checked" lockText="1" noThreeD="1"/>
</file>

<file path=xl/ctrlProps/ctrlProp16.xml><?xml version="1.0" encoding="utf-8"?>
<formControlPr xmlns="http://schemas.microsoft.com/office/spreadsheetml/2009/9/main" objectType="Radio" checked="Checked" firstButton="1" lockText="1" noThreeD="1"/>
</file>

<file path=xl/ctrlProps/ctrlProp17.xml><?xml version="1.0" encoding="utf-8"?>
<formControlPr xmlns="http://schemas.microsoft.com/office/spreadsheetml/2009/9/main" objectType="Radio" checked="Checked" firstButton="1" lockText="1" noThreeD="1"/>
</file>

<file path=xl/ctrlProps/ctrlProp18.xml><?xml version="1.0" encoding="utf-8"?>
<formControlPr xmlns="http://schemas.microsoft.com/office/spreadsheetml/2009/9/main" objectType="Radio" checked="Checked" firstButton="1" lockText="1" noThreeD="1"/>
</file>

<file path=xl/ctrlProps/ctrlProp19.xml><?xml version="1.0" encoding="utf-8"?>
<formControlPr xmlns="http://schemas.microsoft.com/office/spreadsheetml/2009/9/main" objectType="Radio" checked="Checked" firstButton="1" lockText="1" noThreeD="1"/>
</file>

<file path=xl/ctrlProps/ctrlProp20.xml><?xml version="1.0" encoding="utf-8"?>
<formControlPr xmlns="http://schemas.microsoft.com/office/spreadsheetml/2009/9/main" objectType="Radio" lockText="1" noThreeD="1"/>
</file>

<file path=xl/ctrlProps/ctrlProp21.xml><?xml version="1.0" encoding="utf-8"?>
<formControlPr xmlns="http://schemas.microsoft.com/office/spreadsheetml/2009/9/main" objectType="GBox"/>
</file>

<file path=xl/ctrlProps/ctrlProp22.xml><?xml version="1.0" encoding="utf-8"?>
<formControlPr xmlns="http://schemas.microsoft.com/office/spreadsheetml/2009/9/main" objectType="GBox"/>
</file>

<file path=xl/ctrlProps/ctrlProp23.xml><?xml version="1.0" encoding="utf-8"?>
<formControlPr xmlns="http://schemas.microsoft.com/office/spreadsheetml/2009/9/main" objectType="GBox"/>
</file>

<file path=xl/ctrlProps/ctrlProp24.xml><?xml version="1.0" encoding="utf-8"?>
<formControlPr xmlns="http://schemas.microsoft.com/office/spreadsheetml/2009/9/main" objectType="GBox"/>
</file>

<file path=xl/ctrlProps/ctrlProp25.xml><?xml version="1.0" encoding="utf-8"?>
<formControlPr xmlns="http://schemas.microsoft.com/office/spreadsheetml/2009/9/main" objectType="GBox"/>
</file>

<file path=xl/ctrlProps/ctrlProp26.xml><?xml version="1.0" encoding="utf-8"?>
<formControlPr xmlns="http://schemas.microsoft.com/office/spreadsheetml/2009/9/main" objectType="Radio" checked="Checked" firstButton="1" lockText="1" noThreeD="1"/>
</file>

<file path=xl/ctrlProps/ctrlProp27.xml><?xml version="1.0" encoding="utf-8"?>
<formControlPr xmlns="http://schemas.microsoft.com/office/spreadsheetml/2009/9/main" objectType="Radio" lockText="1" noThreeD="1"/>
</file>

<file path=xl/ctrlProps/ctrlProp28.xml><?xml version="1.0" encoding="utf-8"?>
<formControlPr xmlns="http://schemas.microsoft.com/office/spreadsheetml/2009/9/main" objectType="Drop" dropStyle="combo" dx="15" fmlaLink="$X$51" fmlaRange="$O$8:$O$16" sel="9" val="0"/>
</file>

<file path=xl/ctrlProps/ctrlProp29.xml><?xml version="1.0" encoding="utf-8"?>
<formControlPr xmlns="http://schemas.microsoft.com/office/spreadsheetml/2009/9/main" objectType="Radio" lockText="1" noThreeD="1"/>
</file>

<file path=xl/ctrlProps/ctrlProp30.xml><?xml version="1.0" encoding="utf-8"?>
<formControlPr xmlns="http://schemas.microsoft.com/office/spreadsheetml/2009/9/main" objectType="GBox"/>
</file>

<file path=xl/ctrlProps/ctrlProp31.xml><?xml version="1.0" encoding="utf-8"?>
<formControlPr xmlns="http://schemas.microsoft.com/office/spreadsheetml/2009/9/main" objectType="GBox"/>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GBox"/>
</file>

<file path=xl/ctrlProps/ctrlProp34.xml><?xml version="1.0" encoding="utf-8"?>
<formControlPr xmlns="http://schemas.microsoft.com/office/spreadsheetml/2009/9/main" objectType="Radio" firstButton="1" lockText="1" noThreeD="1"/>
</file>

<file path=xl/ctrlProps/ctrlProp35.xml><?xml version="1.0" encoding="utf-8"?>
<formControlPr xmlns="http://schemas.microsoft.com/office/spreadsheetml/2009/9/main" objectType="Radio" checked="Checked" lockText="1" noThreeD="1"/>
</file>

<file path=xl/ctrlProps/ctrlProp36.xml><?xml version="1.0" encoding="utf-8"?>
<formControlPr xmlns="http://schemas.microsoft.com/office/spreadsheetml/2009/9/main" objectType="GBox"/>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GBox"/>
</file>

<file path=xl/ctrlProps/ctrlProp40.xml><?xml version="1.0" encoding="utf-8"?>
<formControlPr xmlns="http://schemas.microsoft.com/office/spreadsheetml/2009/9/main" objectType="GBox"/>
</file>

<file path=xl/ctrlProps/ctrlProp41.xml><?xml version="1.0" encoding="utf-8"?>
<formControlPr xmlns="http://schemas.microsoft.com/office/spreadsheetml/2009/9/main" objectType="GBox"/>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GBox"/>
</file>

<file path=xl/ctrlProps/ctrlProp45.xml><?xml version="1.0" encoding="utf-8"?>
<formControlPr xmlns="http://schemas.microsoft.com/office/spreadsheetml/2009/9/main" objectType="GBox"/>
</file>

<file path=xl/ctrlProps/ctrlProp46.xml><?xml version="1.0" encoding="utf-8"?>
<formControlPr xmlns="http://schemas.microsoft.com/office/spreadsheetml/2009/9/main" objectType="GBox"/>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GBox"/>
</file>

<file path=xl/ctrlProps/ctrlProp49.xml><?xml version="1.0" encoding="utf-8"?>
<formControlPr xmlns="http://schemas.microsoft.com/office/spreadsheetml/2009/9/main" objectType="GBox"/>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GBox"/>
</file>

<file path=xl/ctrlProps/ctrlProp52.xml><?xml version="1.0" encoding="utf-8"?>
<formControlPr xmlns="http://schemas.microsoft.com/office/spreadsheetml/2009/9/main" objectType="GBox"/>
</file>

<file path=xl/ctrlProps/ctrlProp53.xml><?xml version="1.0" encoding="utf-8"?>
<formControlPr xmlns="http://schemas.microsoft.com/office/spreadsheetml/2009/9/main" objectType="Radio" checked="Checked" firstButton="1" lockText="1" noThreeD="1"/>
</file>

<file path=xl/ctrlProps/ctrlProp54.xml><?xml version="1.0" encoding="utf-8"?>
<formControlPr xmlns="http://schemas.microsoft.com/office/spreadsheetml/2009/9/main" objectType="Radio" lockText="1" noThreeD="1"/>
</file>

<file path=xl/ctrlProps/ctrlProp55.xml><?xml version="1.0" encoding="utf-8"?>
<formControlPr xmlns="http://schemas.microsoft.com/office/spreadsheetml/2009/9/main" objectType="Radio" checked="Checked" firstButton="1" lockText="1" noThreeD="1"/>
</file>

<file path=xl/ctrlProps/ctrlProp56.xml><?xml version="1.0" encoding="utf-8"?>
<formControlPr xmlns="http://schemas.microsoft.com/office/spreadsheetml/2009/9/main" objectType="Radio" lockText="1" noThreeD="1"/>
</file>

<file path=xl/ctrlProps/ctrlProp57.xml><?xml version="1.0" encoding="utf-8"?>
<formControlPr xmlns="http://schemas.microsoft.com/office/spreadsheetml/2009/9/main" objectType="GBox"/>
</file>

<file path=xl/ctrlProps/ctrlProp58.xml><?xml version="1.0" encoding="utf-8"?>
<formControlPr xmlns="http://schemas.microsoft.com/office/spreadsheetml/2009/9/main" objectType="Radio" checked="Checked" firstButton="1" lockText="1" noThreeD="1"/>
</file>

<file path=xl/ctrlProps/ctrlProp59.xml><?xml version="1.0" encoding="utf-8"?>
<formControlPr xmlns="http://schemas.microsoft.com/office/spreadsheetml/2009/9/main" objectType="Radio" lockText="1" noThreeD="1"/>
</file>

<file path=xl/ctrlProps/ctrlProp60.xml><?xml version="1.0" encoding="utf-8"?>
<formControlPr xmlns="http://schemas.microsoft.com/office/spreadsheetml/2009/9/main" objectType="GBox"/>
</file>

<file path=xl/ctrlProps/ctrlProp61.xml><?xml version="1.0" encoding="utf-8"?>
<formControlPr xmlns="http://schemas.microsoft.com/office/spreadsheetml/2009/9/main" objectType="GBox" noThreeD="1"/>
</file>

<file path=xl/ctrlProps/ctrlProp62.xml><?xml version="1.0" encoding="utf-8"?>
<formControlPr xmlns="http://schemas.microsoft.com/office/spreadsheetml/2009/9/main" objectType="GBox" noThreeD="1"/>
</file>

<file path=xl/ctrlProps/ctrlProp63.xml><?xml version="1.0" encoding="utf-8"?>
<formControlPr xmlns="http://schemas.microsoft.com/office/spreadsheetml/2009/9/main" objectType="GBox" noThreeD="1"/>
</file>

<file path=xl/ctrlProps/ctrlProp64.xml><?xml version="1.0" encoding="utf-8"?>
<formControlPr xmlns="http://schemas.microsoft.com/office/spreadsheetml/2009/9/main" objectType="GBox" noThreeD="1"/>
</file>

<file path=xl/ctrlProps/ctrlProp65.xml><?xml version="1.0" encoding="utf-8"?>
<formControlPr xmlns="http://schemas.microsoft.com/office/spreadsheetml/2009/9/main" objectType="Radio" checked="Checked" firstButton="1" lockText="1" noThreeD="1"/>
</file>

<file path=xl/ctrlProps/ctrlProp66.xml><?xml version="1.0" encoding="utf-8"?>
<formControlPr xmlns="http://schemas.microsoft.com/office/spreadsheetml/2009/9/main" objectType="Radio" lockText="1" noThreeD="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chart" Target="../charts/chart1.xml"/><Relationship Id="rId1" Type="http://schemas.openxmlformats.org/officeDocument/2006/relationships/image" Target="../media/image3.jpeg"/></Relationships>
</file>

<file path=xl/drawings/_rels/drawing5.x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chart" Target="../charts/chart3.xml"/></Relationships>
</file>

<file path=xl/drawings/_rels/drawing7.xml.rels><?xml version="1.0" encoding="UTF-8" standalone="yes"?>
<Relationships xmlns="http://schemas.openxmlformats.org/package/2006/relationships"><Relationship Id="rId3" Type="http://schemas.openxmlformats.org/officeDocument/2006/relationships/image" Target="../media/image5.emf"/><Relationship Id="rId2" Type="http://schemas.openxmlformats.org/officeDocument/2006/relationships/image" Target="../media/image4.jpeg"/><Relationship Id="rId1" Type="http://schemas.openxmlformats.org/officeDocument/2006/relationships/chart" Target="../charts/chart4.xml"/><Relationship Id="rId5" Type="http://schemas.openxmlformats.org/officeDocument/2006/relationships/image" Target="../media/image7.emf"/><Relationship Id="rId4" Type="http://schemas.openxmlformats.org/officeDocument/2006/relationships/image" Target="../media/image6.emf"/></Relationships>
</file>

<file path=xl/drawings/_rels/drawing8.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image" Target="../media/image4.jpeg"/><Relationship Id="rId1" Type="http://schemas.openxmlformats.org/officeDocument/2006/relationships/chart" Target="../charts/chart5.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image" Target="../media/image4.jpeg"/></Relationships>
</file>

<file path=xl/drawings/_rels/drawing14.xml.rels><?xml version="1.0" encoding="UTF-8" standalone="yes"?>
<Relationships xmlns="http://schemas.openxmlformats.org/package/2006/relationships"><Relationship Id="rId8" Type="http://schemas.openxmlformats.org/officeDocument/2006/relationships/image" Target="../media/image16.png"/><Relationship Id="rId3" Type="http://schemas.openxmlformats.org/officeDocument/2006/relationships/image" Target="../media/image11.png"/><Relationship Id="rId7" Type="http://schemas.openxmlformats.org/officeDocument/2006/relationships/image" Target="../media/image15.png"/><Relationship Id="rId2" Type="http://schemas.openxmlformats.org/officeDocument/2006/relationships/image" Target="../media/image10.png"/><Relationship Id="rId1" Type="http://schemas.openxmlformats.org/officeDocument/2006/relationships/image" Target="../media/image9.png"/><Relationship Id="rId6" Type="http://schemas.openxmlformats.org/officeDocument/2006/relationships/image" Target="../media/image14.png"/><Relationship Id="rId5" Type="http://schemas.openxmlformats.org/officeDocument/2006/relationships/image" Target="../media/image13.png"/><Relationship Id="rId10" Type="http://schemas.openxmlformats.org/officeDocument/2006/relationships/image" Target="../media/image17.png"/><Relationship Id="rId4" Type="http://schemas.openxmlformats.org/officeDocument/2006/relationships/image" Target="../media/image12.png"/><Relationship Id="rId9" Type="http://schemas.openxmlformats.org/officeDocument/2006/relationships/image" Target="../media/image4.jpeg"/></Relationships>
</file>

<file path=xl/drawings/_rels/drawing15.xml.rels><?xml version="1.0" encoding="UTF-8" standalone="yes"?>
<Relationships xmlns="http://schemas.openxmlformats.org/package/2006/relationships"><Relationship Id="rId2" Type="http://schemas.openxmlformats.org/officeDocument/2006/relationships/chart" Target="../charts/chart10.xml"/><Relationship Id="rId1" Type="http://schemas.openxmlformats.org/officeDocument/2006/relationships/chart" Target="../charts/chart9.xml"/></Relationships>
</file>

<file path=xl/drawings/_rels/vmlDrawing2.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xdr:twoCellAnchor editAs="oneCell">
    <xdr:from>
      <xdr:col>0</xdr:col>
      <xdr:colOff>79131</xdr:colOff>
      <xdr:row>0</xdr:row>
      <xdr:rowOff>47625</xdr:rowOff>
    </xdr:from>
    <xdr:to>
      <xdr:col>1</xdr:col>
      <xdr:colOff>447675</xdr:colOff>
      <xdr:row>2</xdr:row>
      <xdr:rowOff>148807</xdr:rowOff>
    </xdr:to>
    <xdr:pic>
      <xdr:nvPicPr>
        <xdr:cNvPr id="2" name="Picture 2">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9131" y="47625"/>
          <a:ext cx="1054344" cy="929857"/>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0</xdr:col>
          <xdr:colOff>106680</xdr:colOff>
          <xdr:row>6</xdr:row>
          <xdr:rowOff>91440</xdr:rowOff>
        </xdr:from>
        <xdr:to>
          <xdr:col>7</xdr:col>
          <xdr:colOff>624840</xdr:colOff>
          <xdr:row>10</xdr:row>
          <xdr:rowOff>76200</xdr:rowOff>
        </xdr:to>
        <xdr:sp macro="" textlink="">
          <xdr:nvSpPr>
            <xdr:cNvPr id="23554" name="Group box 1011" hidden="1">
              <a:extLst>
                <a:ext uri="{63B3BB69-23CF-44E3-9099-C40C66FF867C}">
                  <a14:compatExt spid="_x0000_s23554"/>
                </a:ext>
                <a:ext uri="{FF2B5EF4-FFF2-40B4-BE49-F238E27FC236}">
                  <a16:creationId xmlns:a16="http://schemas.microsoft.com/office/drawing/2014/main" id="{00000000-0008-0000-0000-000002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水库/堰塞湖 信息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99060</xdr:colOff>
          <xdr:row>16</xdr:row>
          <xdr:rowOff>22860</xdr:rowOff>
        </xdr:from>
        <xdr:to>
          <xdr:col>7</xdr:col>
          <xdr:colOff>601980</xdr:colOff>
          <xdr:row>21</xdr:row>
          <xdr:rowOff>167640</xdr:rowOff>
        </xdr:to>
        <xdr:sp macro="" textlink="">
          <xdr:nvSpPr>
            <xdr:cNvPr id="23555" name="Group box 1033" hidden="1">
              <a:extLst>
                <a:ext uri="{63B3BB69-23CF-44E3-9099-C40C66FF867C}">
                  <a14:compatExt spid="_x0000_s23555"/>
                </a:ext>
                <a:ext uri="{FF2B5EF4-FFF2-40B4-BE49-F238E27FC236}">
                  <a16:creationId xmlns:a16="http://schemas.microsoft.com/office/drawing/2014/main" id="{00000000-0008-0000-0000-000003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库容水位关系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144780</xdr:colOff>
          <xdr:row>12</xdr:row>
          <xdr:rowOff>60960</xdr:rowOff>
        </xdr:from>
        <xdr:to>
          <xdr:col>15</xdr:col>
          <xdr:colOff>152400</xdr:colOff>
          <xdr:row>16</xdr:row>
          <xdr:rowOff>38100</xdr:rowOff>
        </xdr:to>
        <xdr:sp macro="" textlink="">
          <xdr:nvSpPr>
            <xdr:cNvPr id="23559" name="Group box 1044" hidden="1">
              <a:extLst>
                <a:ext uri="{63B3BB69-23CF-44E3-9099-C40C66FF867C}">
                  <a14:compatExt spid="_x0000_s23559"/>
                </a:ext>
                <a:ext uri="{FF2B5EF4-FFF2-40B4-BE49-F238E27FC236}">
                  <a16:creationId xmlns:a16="http://schemas.microsoft.com/office/drawing/2014/main" id="{00000000-0008-0000-0000-000007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溃口土体冲蚀系数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10</xdr:row>
          <xdr:rowOff>175260</xdr:rowOff>
        </xdr:from>
        <xdr:to>
          <xdr:col>7</xdr:col>
          <xdr:colOff>632460</xdr:colOff>
          <xdr:row>15</xdr:row>
          <xdr:rowOff>99060</xdr:rowOff>
        </xdr:to>
        <xdr:sp macro="" textlink="">
          <xdr:nvSpPr>
            <xdr:cNvPr id="23562" name="Group box 1022" hidden="1">
              <a:extLst>
                <a:ext uri="{63B3BB69-23CF-44E3-9099-C40C66FF867C}">
                  <a14:compatExt spid="_x0000_s23562"/>
                </a:ext>
                <a:ext uri="{FF2B5EF4-FFF2-40B4-BE49-F238E27FC236}">
                  <a16:creationId xmlns:a16="http://schemas.microsoft.com/office/drawing/2014/main" id="{00000000-0008-0000-0000-00000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初始条件（导流槽/溃口初始信息）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144780</xdr:colOff>
          <xdr:row>16</xdr:row>
          <xdr:rowOff>99060</xdr:rowOff>
        </xdr:from>
        <xdr:to>
          <xdr:col>15</xdr:col>
          <xdr:colOff>175260</xdr:colOff>
          <xdr:row>21</xdr:row>
          <xdr:rowOff>129540</xdr:rowOff>
        </xdr:to>
        <xdr:sp macro="" textlink="">
          <xdr:nvSpPr>
            <xdr:cNvPr id="23563" name="Group Box 11" hidden="1">
              <a:extLst>
                <a:ext uri="{63B3BB69-23CF-44E3-9099-C40C66FF867C}">
                  <a14:compatExt spid="_x0000_s23563"/>
                </a:ext>
                <a:ext uri="{FF2B5EF4-FFF2-40B4-BE49-F238E27FC236}">
                  <a16:creationId xmlns:a16="http://schemas.microsoft.com/office/drawing/2014/main" id="{00000000-0008-0000-0000-00000B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38100</xdr:colOff>
          <xdr:row>4</xdr:row>
          <xdr:rowOff>53340</xdr:rowOff>
        </xdr:from>
        <xdr:to>
          <xdr:col>15</xdr:col>
          <xdr:colOff>335280</xdr:colOff>
          <xdr:row>22</xdr:row>
          <xdr:rowOff>167640</xdr:rowOff>
        </xdr:to>
        <xdr:sp macro="" textlink="">
          <xdr:nvSpPr>
            <xdr:cNvPr id="23566" name="Group Box 14" hidden="1">
              <a:extLst>
                <a:ext uri="{63B3BB69-23CF-44E3-9099-C40C66FF867C}">
                  <a14:compatExt spid="_x0000_s23566"/>
                </a:ext>
                <a:ext uri="{FF2B5EF4-FFF2-40B4-BE49-F238E27FC236}">
                  <a16:creationId xmlns:a16="http://schemas.microsoft.com/office/drawing/2014/main" id="{00000000-0008-0000-0000-00000E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25</xdr:row>
          <xdr:rowOff>30480</xdr:rowOff>
        </xdr:from>
        <xdr:to>
          <xdr:col>12</xdr:col>
          <xdr:colOff>533400</xdr:colOff>
          <xdr:row>28</xdr:row>
          <xdr:rowOff>129540</xdr:rowOff>
        </xdr:to>
        <xdr:sp macro="" textlink="">
          <xdr:nvSpPr>
            <xdr:cNvPr id="23569" name="Button 1022" hidden="1">
              <a:extLst>
                <a:ext uri="{63B3BB69-23CF-44E3-9099-C40C66FF867C}">
                  <a14:compatExt spid="_x0000_s23569"/>
                </a:ext>
                <a:ext uri="{FF2B5EF4-FFF2-40B4-BE49-F238E27FC236}">
                  <a16:creationId xmlns:a16="http://schemas.microsoft.com/office/drawing/2014/main" id="{00000000-0008-0000-0000-0000115C0000}"/>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zh-CN" altLang="en-US" sz="1600" b="1" i="0" u="none" strike="noStrike" baseline="0">
                  <a:solidFill>
                    <a:srgbClr val="000000"/>
                  </a:solidFill>
                  <a:latin typeface="宋体"/>
                  <a:ea typeface="宋体"/>
                </a:rPr>
                <a:t>返回计算页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251460</xdr:colOff>
          <xdr:row>0</xdr:row>
          <xdr:rowOff>449580</xdr:rowOff>
        </xdr:from>
        <xdr:to>
          <xdr:col>15</xdr:col>
          <xdr:colOff>571500</xdr:colOff>
          <xdr:row>2</xdr:row>
          <xdr:rowOff>152400</xdr:rowOff>
        </xdr:to>
        <xdr:sp macro="" textlink="">
          <xdr:nvSpPr>
            <xdr:cNvPr id="23571" name="Button 1011" hidden="1">
              <a:extLst>
                <a:ext uri="{63B3BB69-23CF-44E3-9099-C40C66FF867C}">
                  <a14:compatExt spid="_x0000_s23571"/>
                </a:ext>
                <a:ext uri="{FF2B5EF4-FFF2-40B4-BE49-F238E27FC236}">
                  <a16:creationId xmlns:a16="http://schemas.microsoft.com/office/drawing/2014/main" id="{00000000-0008-0000-0000-0000135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切换英文版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419100</xdr:colOff>
          <xdr:row>11</xdr:row>
          <xdr:rowOff>99060</xdr:rowOff>
        </xdr:from>
        <xdr:to>
          <xdr:col>2</xdr:col>
          <xdr:colOff>182880</xdr:colOff>
          <xdr:row>12</xdr:row>
          <xdr:rowOff>182880</xdr:rowOff>
        </xdr:to>
        <xdr:sp macro="" textlink="">
          <xdr:nvSpPr>
            <xdr:cNvPr id="23572" name="Option button 1011" hidden="1">
              <a:extLst>
                <a:ext uri="{63B3BB69-23CF-44E3-9099-C40C66FF867C}">
                  <a14:compatExt spid="_x0000_s23572"/>
                </a:ext>
                <a:ext uri="{FF2B5EF4-FFF2-40B4-BE49-F238E27FC236}">
                  <a16:creationId xmlns:a16="http://schemas.microsoft.com/office/drawing/2014/main" id="{00000000-0008-0000-0000-000014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手动输入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60960</xdr:colOff>
          <xdr:row>11</xdr:row>
          <xdr:rowOff>91440</xdr:rowOff>
        </xdr:from>
        <xdr:to>
          <xdr:col>5</xdr:col>
          <xdr:colOff>152400</xdr:colOff>
          <xdr:row>12</xdr:row>
          <xdr:rowOff>175260</xdr:rowOff>
        </xdr:to>
        <xdr:sp macro="" textlink="">
          <xdr:nvSpPr>
            <xdr:cNvPr id="23573" name="Option button 1022" hidden="1">
              <a:extLst>
                <a:ext uri="{63B3BB69-23CF-44E3-9099-C40C66FF867C}">
                  <a14:compatExt spid="_x0000_s23573"/>
                </a:ext>
                <a:ext uri="{FF2B5EF4-FFF2-40B4-BE49-F238E27FC236}">
                  <a16:creationId xmlns:a16="http://schemas.microsoft.com/office/drawing/2014/main" id="{00000000-0008-0000-0000-000015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通过 Vc 和 Qin 计算获得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365760</xdr:colOff>
          <xdr:row>17</xdr:row>
          <xdr:rowOff>182880</xdr:rowOff>
        </xdr:from>
        <xdr:to>
          <xdr:col>14</xdr:col>
          <xdr:colOff>601980</xdr:colOff>
          <xdr:row>19</xdr:row>
          <xdr:rowOff>76200</xdr:rowOff>
        </xdr:to>
        <xdr:sp macro="" textlink="">
          <xdr:nvSpPr>
            <xdr:cNvPr id="23575" name="Option button 1033" hidden="1">
              <a:extLst>
                <a:ext uri="{63B3BB69-23CF-44E3-9099-C40C66FF867C}">
                  <a14:compatExt spid="_x0000_s23575"/>
                </a:ext>
                <a:ext uri="{FF2B5EF4-FFF2-40B4-BE49-F238E27FC236}">
                  <a16:creationId xmlns:a16="http://schemas.microsoft.com/office/drawing/2014/main" id="{00000000-0008-0000-0000-00001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手动输入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342900</xdr:colOff>
          <xdr:row>19</xdr:row>
          <xdr:rowOff>137160</xdr:rowOff>
        </xdr:from>
        <xdr:to>
          <xdr:col>14</xdr:col>
          <xdr:colOff>609600</xdr:colOff>
          <xdr:row>21</xdr:row>
          <xdr:rowOff>68580</xdr:rowOff>
        </xdr:to>
        <xdr:sp macro="" textlink="">
          <xdr:nvSpPr>
            <xdr:cNvPr id="23576" name="Option button 1044" hidden="1">
              <a:extLst>
                <a:ext uri="{63B3BB69-23CF-44E3-9099-C40C66FF867C}">
                  <a14:compatExt spid="_x0000_s23576"/>
                </a:ext>
                <a:ext uri="{FF2B5EF4-FFF2-40B4-BE49-F238E27FC236}">
                  <a16:creationId xmlns:a16="http://schemas.microsoft.com/office/drawing/2014/main" id="{00000000-0008-0000-0000-00001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使用建议值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152400</xdr:colOff>
          <xdr:row>6</xdr:row>
          <xdr:rowOff>76200</xdr:rowOff>
        </xdr:from>
        <xdr:to>
          <xdr:col>15</xdr:col>
          <xdr:colOff>220980</xdr:colOff>
          <xdr:row>11</xdr:row>
          <xdr:rowOff>76200</xdr:rowOff>
        </xdr:to>
        <xdr:sp macro="" textlink="">
          <xdr:nvSpPr>
            <xdr:cNvPr id="23578" name="Group Box 1055" hidden="1">
              <a:extLst>
                <a:ext uri="{63B3BB69-23CF-44E3-9099-C40C66FF867C}">
                  <a14:compatExt spid="_x0000_s23578"/>
                </a:ext>
                <a:ext uri="{FF2B5EF4-FFF2-40B4-BE49-F238E27FC236}">
                  <a16:creationId xmlns:a16="http://schemas.microsoft.com/office/drawing/2014/main" id="{00000000-0008-0000-0000-00001A5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溃口（宽顶堰）流量系数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525780</xdr:colOff>
          <xdr:row>9</xdr:row>
          <xdr:rowOff>106680</xdr:rowOff>
        </xdr:from>
        <xdr:to>
          <xdr:col>13</xdr:col>
          <xdr:colOff>182880</xdr:colOff>
          <xdr:row>11</xdr:row>
          <xdr:rowOff>76200</xdr:rowOff>
        </xdr:to>
        <xdr:sp macro="" textlink="">
          <xdr:nvSpPr>
            <xdr:cNvPr id="23590" name="Option Button 1055" hidden="1">
              <a:extLst>
                <a:ext uri="{63B3BB69-23CF-44E3-9099-C40C66FF867C}">
                  <a14:compatExt spid="_x0000_s23590"/>
                </a:ext>
                <a:ext uri="{FF2B5EF4-FFF2-40B4-BE49-F238E27FC236}">
                  <a16:creationId xmlns:a16="http://schemas.microsoft.com/office/drawing/2014/main" id="{00000000-0008-0000-0000-000026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输入mb、mq和m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91440</xdr:colOff>
          <xdr:row>9</xdr:row>
          <xdr:rowOff>137160</xdr:rowOff>
        </xdr:from>
        <xdr:to>
          <xdr:col>14</xdr:col>
          <xdr:colOff>228600</xdr:colOff>
          <xdr:row>11</xdr:row>
          <xdr:rowOff>53340</xdr:rowOff>
        </xdr:to>
        <xdr:sp macro="" textlink="">
          <xdr:nvSpPr>
            <xdr:cNvPr id="23591" name="Option Button 1066" hidden="1">
              <a:extLst>
                <a:ext uri="{63B3BB69-23CF-44E3-9099-C40C66FF867C}">
                  <a14:compatExt spid="_x0000_s23591"/>
                </a:ext>
                <a:ext uri="{FF2B5EF4-FFF2-40B4-BE49-F238E27FC236}">
                  <a16:creationId xmlns:a16="http://schemas.microsoft.com/office/drawing/2014/main" id="{00000000-0008-0000-0000-000027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输入C和m</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213360</xdr:colOff>
          <xdr:row>9</xdr:row>
          <xdr:rowOff>152400</xdr:rowOff>
        </xdr:from>
        <xdr:to>
          <xdr:col>15</xdr:col>
          <xdr:colOff>228600</xdr:colOff>
          <xdr:row>11</xdr:row>
          <xdr:rowOff>53340</xdr:rowOff>
        </xdr:to>
        <xdr:sp macro="" textlink="">
          <xdr:nvSpPr>
            <xdr:cNvPr id="23592" name="Option Button 1077" hidden="1">
              <a:extLst>
                <a:ext uri="{63B3BB69-23CF-44E3-9099-C40C66FF867C}">
                  <a14:compatExt spid="_x0000_s23592"/>
                </a:ext>
                <a:ext uri="{FF2B5EF4-FFF2-40B4-BE49-F238E27FC236}">
                  <a16:creationId xmlns:a16="http://schemas.microsoft.com/office/drawing/2014/main" id="{00000000-0008-0000-0000-0000285C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使用建议值</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88656</xdr:colOff>
      <xdr:row>0</xdr:row>
      <xdr:rowOff>93783</xdr:rowOff>
    </xdr:from>
    <xdr:to>
      <xdr:col>1</xdr:col>
      <xdr:colOff>530806</xdr:colOff>
      <xdr:row>2</xdr:row>
      <xdr:rowOff>220914</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8656" y="93783"/>
          <a:ext cx="1060542" cy="912577"/>
        </a:xfrm>
        <a:prstGeom prst="rect">
          <a:avLst/>
        </a:prstGeom>
      </xdr:spPr>
    </xdr:pic>
    <xdr:clientData/>
  </xdr:twoCellAnchor>
  <xdr:twoCellAnchor>
    <xdr:from>
      <xdr:col>0</xdr:col>
      <xdr:colOff>244929</xdr:colOff>
      <xdr:row>33</xdr:row>
      <xdr:rowOff>115662</xdr:rowOff>
    </xdr:from>
    <xdr:to>
      <xdr:col>5</xdr:col>
      <xdr:colOff>639536</xdr:colOff>
      <xdr:row>45</xdr:row>
      <xdr:rowOff>24179</xdr:rowOff>
    </xdr:to>
    <xdr:graphicFrame macro="">
      <xdr:nvGraphicFramePr>
        <xdr:cNvPr id="4" name="图表 5">
          <a:extLst>
            <a:ext uri="{FF2B5EF4-FFF2-40B4-BE49-F238E27FC236}">
              <a16:creationId xmlns:a16="http://schemas.microsoft.com/office/drawing/2014/main" id="{00000000-0008-0000-01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895349</xdr:colOff>
      <xdr:row>33</xdr:row>
      <xdr:rowOff>74840</xdr:rowOff>
    </xdr:from>
    <xdr:to>
      <xdr:col>12</xdr:col>
      <xdr:colOff>209549</xdr:colOff>
      <xdr:row>45</xdr:row>
      <xdr:rowOff>38100</xdr:rowOff>
    </xdr:to>
    <xdr:graphicFrame macro="">
      <xdr:nvGraphicFramePr>
        <xdr:cNvPr id="5" name="图表 6">
          <a:extLst>
            <a:ext uri="{FF2B5EF4-FFF2-40B4-BE49-F238E27FC236}">
              <a16:creationId xmlns:a16="http://schemas.microsoft.com/office/drawing/2014/main" id="{00000000-0008-0000-01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401170</xdr:colOff>
      <xdr:row>13</xdr:row>
      <xdr:rowOff>188819</xdr:rowOff>
    </xdr:from>
    <xdr:to>
      <xdr:col>12</xdr:col>
      <xdr:colOff>376604</xdr:colOff>
      <xdr:row>20</xdr:row>
      <xdr:rowOff>186417</xdr:rowOff>
    </xdr:to>
    <xdr:sp macro="" textlink="">
      <xdr:nvSpPr>
        <xdr:cNvPr id="6" name="圆角矩形 5">
          <a:extLst>
            <a:ext uri="{FF2B5EF4-FFF2-40B4-BE49-F238E27FC236}">
              <a16:creationId xmlns:a16="http://schemas.microsoft.com/office/drawing/2014/main" id="{00000000-0008-0000-0100-000006000000}"/>
            </a:ext>
          </a:extLst>
        </xdr:cNvPr>
        <xdr:cNvSpPr/>
      </xdr:nvSpPr>
      <xdr:spPr>
        <a:xfrm>
          <a:off x="7611595" y="3627344"/>
          <a:ext cx="2537659" cy="1531123"/>
        </a:xfrm>
        <a:prstGeom prst="roundRect">
          <a:avLst/>
        </a:prstGeom>
        <a:solidFill>
          <a:schemeClr val="bg1">
            <a:lumMod val="85000"/>
          </a:schemeClr>
        </a:solidFill>
        <a:ln w="19050">
          <a:solidFill>
            <a:schemeClr val="bg1">
              <a:lumMod val="50000"/>
            </a:schemeClr>
          </a:solidFill>
        </a:ln>
        <a:effectLst/>
        <a:scene3d>
          <a:camera prst="perspectiveFront"/>
          <a:lightRig rig="threePt" dir="t"/>
        </a:scene3d>
        <a:sp3d/>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endParaRPr lang="zh-CN" altLang="en-US" sz="1100"/>
        </a:p>
      </xdr:txBody>
    </xdr:sp>
    <xdr:clientData/>
  </xdr:twoCellAnchor>
  <xdr:twoCellAnchor>
    <xdr:from>
      <xdr:col>9</xdr:col>
      <xdr:colOff>336947</xdr:colOff>
      <xdr:row>14</xdr:row>
      <xdr:rowOff>58832</xdr:rowOff>
    </xdr:from>
    <xdr:to>
      <xdr:col>12</xdr:col>
      <xdr:colOff>428625</xdr:colOff>
      <xdr:row>18</xdr:row>
      <xdr:rowOff>70038</xdr:rowOff>
    </xdr:to>
    <xdr:sp macro="" textlink="">
      <xdr:nvSpPr>
        <xdr:cNvPr id="7" name="TextBox 6">
          <a:extLst>
            <a:ext uri="{FF2B5EF4-FFF2-40B4-BE49-F238E27FC236}">
              <a16:creationId xmlns:a16="http://schemas.microsoft.com/office/drawing/2014/main" id="{00000000-0008-0000-0100-000007000000}"/>
            </a:ext>
          </a:extLst>
        </xdr:cNvPr>
        <xdr:cNvSpPr txBox="1"/>
      </xdr:nvSpPr>
      <xdr:spPr>
        <a:xfrm>
          <a:off x="7547372" y="3716432"/>
          <a:ext cx="2653903" cy="944656"/>
        </a:xfrm>
        <a:prstGeom prst="rect">
          <a:avLst/>
        </a:prstGeom>
        <a:solidFill>
          <a:schemeClr val="tx2">
            <a:lumMod val="20000"/>
            <a:lumOff val="80000"/>
            <a:alpha val="23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pPr algn="ctr" rtl="0"/>
          <a:r>
            <a:rPr lang="zh-CN" altLang="en-US" sz="1100" b="0" i="0" baseline="0">
              <a:solidFill>
                <a:schemeClr val="dk1"/>
              </a:solidFill>
              <a:latin typeface="+mn-lt"/>
              <a:ea typeface="+mn-ea"/>
              <a:cs typeface="+mn-cs"/>
            </a:rPr>
            <a:t>用户可以根据实际情况，</a:t>
          </a:r>
          <a:br>
            <a:rPr lang="zh-CN" altLang="en-US" sz="1100" b="0" i="0" baseline="0">
              <a:solidFill>
                <a:schemeClr val="dk1"/>
              </a:solidFill>
              <a:latin typeface="+mn-lt"/>
              <a:ea typeface="+mn-ea"/>
              <a:cs typeface="+mn-cs"/>
            </a:rPr>
          </a:br>
          <a:r>
            <a:rPr lang="zh-CN" altLang="en-US" sz="1100" b="0" i="0" baseline="0">
              <a:solidFill>
                <a:schemeClr val="dk1"/>
              </a:solidFill>
              <a:latin typeface="+mn-lt"/>
              <a:ea typeface="+mn-ea"/>
              <a:cs typeface="+mn-cs"/>
            </a:rPr>
            <a:t>点击下拉框，</a:t>
          </a:r>
          <a:br>
            <a:rPr lang="zh-CN" altLang="en-US" sz="1100" b="0" i="0" baseline="0">
              <a:solidFill>
                <a:schemeClr val="dk1"/>
              </a:solidFill>
              <a:latin typeface="+mn-lt"/>
              <a:ea typeface="+mn-ea"/>
              <a:cs typeface="+mn-cs"/>
            </a:rPr>
          </a:br>
          <a:r>
            <a:rPr lang="zh-CN" altLang="en-US" sz="1100" b="0" i="0" baseline="0">
              <a:solidFill>
                <a:schemeClr val="dk1"/>
              </a:solidFill>
              <a:latin typeface="+mn-lt"/>
              <a:ea typeface="+mn-ea"/>
              <a:cs typeface="+mn-cs"/>
            </a:rPr>
            <a:t>选择合适的材料冲刷速率模型</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4</xdr:col>
          <xdr:colOff>99060</xdr:colOff>
          <xdr:row>16</xdr:row>
          <xdr:rowOff>60960</xdr:rowOff>
        </xdr:from>
        <xdr:to>
          <xdr:col>5</xdr:col>
          <xdr:colOff>365760</xdr:colOff>
          <xdr:row>17</xdr:row>
          <xdr:rowOff>53340</xdr:rowOff>
        </xdr:to>
        <xdr:sp macro="" textlink="">
          <xdr:nvSpPr>
            <xdr:cNvPr id="1025" name="Option Button 1" descr="使用默认值"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使用缺省值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114300</xdr:colOff>
          <xdr:row>22</xdr:row>
          <xdr:rowOff>137160</xdr:rowOff>
        </xdr:from>
        <xdr:to>
          <xdr:col>5</xdr:col>
          <xdr:colOff>381000</xdr:colOff>
          <xdr:row>23</xdr:row>
          <xdr:rowOff>60960</xdr:rowOff>
        </xdr:to>
        <xdr:sp macro="" textlink="">
          <xdr:nvSpPr>
            <xdr:cNvPr id="1028" name="Option 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使用缺省值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10</xdr:col>
          <xdr:colOff>137160</xdr:colOff>
          <xdr:row>6</xdr:row>
          <xdr:rowOff>22860</xdr:rowOff>
        </xdr:to>
        <xdr:sp macro="" textlink="">
          <xdr:nvSpPr>
            <xdr:cNvPr id="1032" name="Option Button 8"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通过 Vc 和 Qin计算获得</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396240</xdr:colOff>
          <xdr:row>5</xdr:row>
          <xdr:rowOff>22860</xdr:rowOff>
        </xdr:from>
        <xdr:to>
          <xdr:col>7</xdr:col>
          <xdr:colOff>609600</xdr:colOff>
          <xdr:row>6</xdr:row>
          <xdr:rowOff>0</xdr:rowOff>
        </xdr:to>
        <xdr:sp macro="" textlink="">
          <xdr:nvSpPr>
            <xdr:cNvPr id="1033" name="Option 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手动输入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4</xdr:row>
          <xdr:rowOff>91440</xdr:rowOff>
        </xdr:from>
        <xdr:to>
          <xdr:col>12</xdr:col>
          <xdr:colOff>518160</xdr:colOff>
          <xdr:row>8</xdr:row>
          <xdr:rowOff>137160</xdr:rowOff>
        </xdr:to>
        <xdr:sp macro="" textlink="">
          <xdr:nvSpPr>
            <xdr:cNvPr id="1034" name="Group Box 10"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初始条件（导流槽/溃口初始信息）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106680</xdr:colOff>
          <xdr:row>9</xdr:row>
          <xdr:rowOff>91440</xdr:rowOff>
        </xdr:from>
        <xdr:to>
          <xdr:col>5</xdr:col>
          <xdr:colOff>434340</xdr:colOff>
          <xdr:row>14</xdr:row>
          <xdr:rowOff>91440</xdr:rowOff>
        </xdr:to>
        <xdr:sp macro="" textlink="">
          <xdr:nvSpPr>
            <xdr:cNvPr id="1038" name="Group Box 14"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库容水位关系曲线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22860</xdr:rowOff>
        </xdr:from>
        <xdr:to>
          <xdr:col>5</xdr:col>
          <xdr:colOff>480060</xdr:colOff>
          <xdr:row>19</xdr:row>
          <xdr:rowOff>99060</xdr:rowOff>
        </xdr:to>
        <xdr:sp macro="" textlink="">
          <xdr:nvSpPr>
            <xdr:cNvPr id="1039" name="Group Box 15"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溃口(宽顶堰)流量系数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20</xdr:row>
          <xdr:rowOff>22860</xdr:rowOff>
        </xdr:from>
        <xdr:to>
          <xdr:col>5</xdr:col>
          <xdr:colOff>480060</xdr:colOff>
          <xdr:row>25</xdr:row>
          <xdr:rowOff>91440</xdr:rowOff>
        </xdr:to>
        <xdr:sp macro="" textlink="">
          <xdr:nvSpPr>
            <xdr:cNvPr id="1040" name="Group Box 16" hidden="1">
              <a:extLst>
                <a:ext uri="{63B3BB69-23CF-44E3-9099-C40C66FF867C}">
                  <a14:compatExt spid="_x0000_s1040"/>
                </a:ext>
                <a:ext uri="{FF2B5EF4-FFF2-40B4-BE49-F238E27FC236}">
                  <a16:creationId xmlns:a16="http://schemas.microsoft.com/office/drawing/2014/main" id="{00000000-0008-0000-0100-000010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溃口土体冲蚀系数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91440</xdr:colOff>
          <xdr:row>4</xdr:row>
          <xdr:rowOff>99060</xdr:rowOff>
        </xdr:from>
        <xdr:to>
          <xdr:col>5</xdr:col>
          <xdr:colOff>434340</xdr:colOff>
          <xdr:row>8</xdr:row>
          <xdr:rowOff>205740</xdr:rowOff>
        </xdr:to>
        <xdr:sp macro="" textlink="">
          <xdr:nvSpPr>
            <xdr:cNvPr id="1041" name="Group Box 17"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水库/堰塞湖 信息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10</xdr:row>
          <xdr:rowOff>106680</xdr:rowOff>
        </xdr:from>
        <xdr:to>
          <xdr:col>5</xdr:col>
          <xdr:colOff>0</xdr:colOff>
          <xdr:row>11</xdr:row>
          <xdr:rowOff>60960</xdr:rowOff>
        </xdr:to>
        <xdr:sp macro="" textlink="">
          <xdr:nvSpPr>
            <xdr:cNvPr id="1044" name="Option Button 20"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自动获取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68580</xdr:colOff>
          <xdr:row>12</xdr:row>
          <xdr:rowOff>0</xdr:rowOff>
        </xdr:from>
        <xdr:to>
          <xdr:col>5</xdr:col>
          <xdr:colOff>0</xdr:colOff>
          <xdr:row>12</xdr:row>
          <xdr:rowOff>182880</xdr:rowOff>
        </xdr:to>
        <xdr:sp macro="" textlink="">
          <xdr:nvSpPr>
            <xdr:cNvPr id="1045" name="Option Button 21"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手动输入</a:t>
              </a:r>
            </a:p>
          </xdr:txBody>
        </xdr:sp>
        <xdr:clientData/>
      </xdr:twoCellAnchor>
    </mc:Choice>
    <mc:Fallback/>
  </mc:AlternateContent>
  <mc:AlternateContent xmlns:mc="http://schemas.openxmlformats.org/markup-compatibility/2006">
    <mc:Choice xmlns:a14="http://schemas.microsoft.com/office/drawing/2010/main" Requires="a14">
      <xdr:twoCellAnchor editAs="absolute">
        <xdr:from>
          <xdr:col>9</xdr:col>
          <xdr:colOff>403860</xdr:colOff>
          <xdr:row>17</xdr:row>
          <xdr:rowOff>182880</xdr:rowOff>
        </xdr:from>
        <xdr:to>
          <xdr:col>11</xdr:col>
          <xdr:colOff>1005840</xdr:colOff>
          <xdr:row>19</xdr:row>
          <xdr:rowOff>106680</xdr:rowOff>
        </xdr:to>
        <xdr:sp macro="" textlink="">
          <xdr:nvSpPr>
            <xdr:cNvPr id="1120" name="ErosionMethod" descr="Swithing the candidate methods to consider the erosion rate of sediments:&#10;" hidden="1">
              <a:extLst>
                <a:ext uri="{63B3BB69-23CF-44E3-9099-C40C66FF867C}">
                  <a14:compatExt spid="_x0000_s1120"/>
                </a:ext>
                <a:ext uri="{FF2B5EF4-FFF2-40B4-BE49-F238E27FC236}">
                  <a16:creationId xmlns:a16="http://schemas.microsoft.com/office/drawing/2014/main" id="{00000000-0008-0000-0100-00006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19</xdr:col>
          <xdr:colOff>38100</xdr:colOff>
          <xdr:row>7</xdr:row>
          <xdr:rowOff>137160</xdr:rowOff>
        </xdr:from>
        <xdr:to>
          <xdr:col>28</xdr:col>
          <xdr:colOff>342900</xdr:colOff>
          <xdr:row>9</xdr:row>
          <xdr:rowOff>76200</xdr:rowOff>
        </xdr:to>
        <xdr:sp macro="" textlink="">
          <xdr:nvSpPr>
            <xdr:cNvPr id="1122" name="CommandButton1" hidden="1">
              <a:extLst>
                <a:ext uri="{63B3BB69-23CF-44E3-9099-C40C66FF867C}">
                  <a14:compatExt spid="_x0000_s1122"/>
                </a:ext>
                <a:ext uri="{FF2B5EF4-FFF2-40B4-BE49-F238E27FC236}">
                  <a16:creationId xmlns:a16="http://schemas.microsoft.com/office/drawing/2014/main" id="{00000000-0008-0000-0100-00006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91440</xdr:colOff>
          <xdr:row>18</xdr:row>
          <xdr:rowOff>22860</xdr:rowOff>
        </xdr:from>
        <xdr:to>
          <xdr:col>5</xdr:col>
          <xdr:colOff>342900</xdr:colOff>
          <xdr:row>19</xdr:row>
          <xdr:rowOff>53340</xdr:rowOff>
        </xdr:to>
        <xdr:sp macro="" textlink="">
          <xdr:nvSpPr>
            <xdr:cNvPr id="19297" name="Option Button 2913" hidden="1">
              <a:extLst>
                <a:ext uri="{63B3BB69-23CF-44E3-9099-C40C66FF867C}">
                  <a14:compatExt spid="_x0000_s19297"/>
                </a:ext>
                <a:ext uri="{FF2B5EF4-FFF2-40B4-BE49-F238E27FC236}">
                  <a16:creationId xmlns:a16="http://schemas.microsoft.com/office/drawing/2014/main" id="{00000000-0008-0000-0100-000061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手动输入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13</xdr:row>
          <xdr:rowOff>152400</xdr:rowOff>
        </xdr:from>
        <xdr:to>
          <xdr:col>12</xdr:col>
          <xdr:colOff>525780</xdr:colOff>
          <xdr:row>21</xdr:row>
          <xdr:rowOff>53340</xdr:rowOff>
        </xdr:to>
        <xdr:sp macro="" textlink="">
          <xdr:nvSpPr>
            <xdr:cNvPr id="19300" name="Group Box 2916" hidden="1">
              <a:extLst>
                <a:ext uri="{63B3BB69-23CF-44E3-9099-C40C66FF867C}">
                  <a14:compatExt spid="_x0000_s19300"/>
                </a:ext>
                <a:ext uri="{FF2B5EF4-FFF2-40B4-BE49-F238E27FC236}">
                  <a16:creationId xmlns:a16="http://schemas.microsoft.com/office/drawing/2014/main" id="{00000000-0008-0000-0100-000064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泥沙搬运参数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114300</xdr:colOff>
          <xdr:row>21</xdr:row>
          <xdr:rowOff>182880</xdr:rowOff>
        </xdr:from>
        <xdr:to>
          <xdr:col>12</xdr:col>
          <xdr:colOff>518160</xdr:colOff>
          <xdr:row>25</xdr:row>
          <xdr:rowOff>106680</xdr:rowOff>
        </xdr:to>
        <xdr:sp macro="" textlink="">
          <xdr:nvSpPr>
            <xdr:cNvPr id="19301" name="Group Box 2917" hidden="1">
              <a:extLst>
                <a:ext uri="{63B3BB69-23CF-44E3-9099-C40C66FF867C}">
                  <a14:compatExt spid="_x0000_s19301"/>
                </a:ext>
                <a:ext uri="{FF2B5EF4-FFF2-40B4-BE49-F238E27FC236}">
                  <a16:creationId xmlns:a16="http://schemas.microsoft.com/office/drawing/2014/main" id="{00000000-0008-0000-0100-000065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计算按钮    </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289560</xdr:colOff>
          <xdr:row>22</xdr:row>
          <xdr:rowOff>144780</xdr:rowOff>
        </xdr:from>
        <xdr:to>
          <xdr:col>9</xdr:col>
          <xdr:colOff>754380</xdr:colOff>
          <xdr:row>24</xdr:row>
          <xdr:rowOff>175260</xdr:rowOff>
        </xdr:to>
        <xdr:sp macro="" textlink="">
          <xdr:nvSpPr>
            <xdr:cNvPr id="19302" name="Button 2918" hidden="1">
              <a:extLst>
                <a:ext uri="{63B3BB69-23CF-44E3-9099-C40C66FF867C}">
                  <a14:compatExt spid="_x0000_s19302"/>
                </a:ext>
                <a:ext uri="{FF2B5EF4-FFF2-40B4-BE49-F238E27FC236}">
                  <a16:creationId xmlns:a16="http://schemas.microsoft.com/office/drawing/2014/main" id="{00000000-0008-0000-0100-0000664B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zh-CN" altLang="en-US" sz="1400" b="1" i="0" u="none" strike="noStrike" baseline="0">
                  <a:solidFill>
                    <a:srgbClr val="000000"/>
                  </a:solidFill>
                  <a:latin typeface="宋体"/>
                  <a:ea typeface="宋体"/>
                </a:rPr>
                <a:t>重新计算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137160</xdr:colOff>
          <xdr:row>9</xdr:row>
          <xdr:rowOff>0</xdr:rowOff>
        </xdr:from>
        <xdr:to>
          <xdr:col>12</xdr:col>
          <xdr:colOff>518160</xdr:colOff>
          <xdr:row>13</xdr:row>
          <xdr:rowOff>30480</xdr:rowOff>
        </xdr:to>
        <xdr:sp macro="" textlink="">
          <xdr:nvSpPr>
            <xdr:cNvPr id="19303" name="Group Box 2919" hidden="1">
              <a:extLst>
                <a:ext uri="{63B3BB69-23CF-44E3-9099-C40C66FF867C}">
                  <a14:compatExt spid="_x0000_s19303"/>
                </a:ext>
                <a:ext uri="{FF2B5EF4-FFF2-40B4-BE49-F238E27FC236}">
                  <a16:creationId xmlns:a16="http://schemas.microsoft.com/office/drawing/2014/main" id="{00000000-0008-0000-0100-0000674B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441960</xdr:colOff>
          <xdr:row>12</xdr:row>
          <xdr:rowOff>91440</xdr:rowOff>
        </xdr:from>
        <xdr:to>
          <xdr:col>12</xdr:col>
          <xdr:colOff>327660</xdr:colOff>
          <xdr:row>13</xdr:row>
          <xdr:rowOff>22860</xdr:rowOff>
        </xdr:to>
        <xdr:sp macro="" textlink="">
          <xdr:nvSpPr>
            <xdr:cNvPr id="19304" name="Option Button 2920" hidden="1">
              <a:extLst>
                <a:ext uri="{63B3BB69-23CF-44E3-9099-C40C66FF867C}">
                  <a14:compatExt spid="_x0000_s19304"/>
                </a:ext>
                <a:ext uri="{FF2B5EF4-FFF2-40B4-BE49-F238E27FC236}">
                  <a16:creationId xmlns:a16="http://schemas.microsoft.com/office/drawing/2014/main" id="{00000000-0008-0000-0100-000068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手动输入</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792480</xdr:colOff>
          <xdr:row>12</xdr:row>
          <xdr:rowOff>38100</xdr:rowOff>
        </xdr:from>
        <xdr:to>
          <xdr:col>11</xdr:col>
          <xdr:colOff>320040</xdr:colOff>
          <xdr:row>13</xdr:row>
          <xdr:rowOff>22860</xdr:rowOff>
        </xdr:to>
        <xdr:sp macro="" textlink="">
          <xdr:nvSpPr>
            <xdr:cNvPr id="19306" name="Option Button 2922" descr="使用默认值" hidden="1">
              <a:extLst>
                <a:ext uri="{63B3BB69-23CF-44E3-9099-C40C66FF867C}">
                  <a14:compatExt spid="_x0000_s19306"/>
                </a:ext>
                <a:ext uri="{FF2B5EF4-FFF2-40B4-BE49-F238E27FC236}">
                  <a16:creationId xmlns:a16="http://schemas.microsoft.com/office/drawing/2014/main" id="{00000000-0008-0000-0100-00006A4B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使用缺省值</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27</xdr:row>
          <xdr:rowOff>0</xdr:rowOff>
        </xdr:from>
        <xdr:to>
          <xdr:col>11</xdr:col>
          <xdr:colOff>1028700</xdr:colOff>
          <xdr:row>48</xdr:row>
          <xdr:rowOff>152400</xdr:rowOff>
        </xdr:to>
        <xdr:sp macro="" textlink="">
          <xdr:nvSpPr>
            <xdr:cNvPr id="1031" name="Group Box 7"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洪峰预测结果</a:t>
              </a:r>
            </a:p>
          </xdr:txBody>
        </xdr:sp>
        <xdr:clientData/>
      </xdr:twoCellAnchor>
    </mc:Choice>
    <mc:Fallback/>
  </mc:AlternateContent>
  <mc:AlternateContent xmlns:mc="http://schemas.openxmlformats.org/markup-compatibility/2006">
    <mc:Choice xmlns:a14="http://schemas.microsoft.com/office/drawing/2010/main" Requires="a14">
      <xdr:twoCellAnchor>
        <xdr:from>
          <xdr:col>11</xdr:col>
          <xdr:colOff>129540</xdr:colOff>
          <xdr:row>0</xdr:row>
          <xdr:rowOff>457200</xdr:rowOff>
        </xdr:from>
        <xdr:to>
          <xdr:col>12</xdr:col>
          <xdr:colOff>662940</xdr:colOff>
          <xdr:row>2</xdr:row>
          <xdr:rowOff>320040</xdr:rowOff>
        </xdr:to>
        <xdr:sp macro="" textlink="">
          <xdr:nvSpPr>
            <xdr:cNvPr id="19308" name="Button 2924" hidden="1">
              <a:extLst>
                <a:ext uri="{63B3BB69-23CF-44E3-9099-C40C66FF867C}">
                  <a14:compatExt spid="_x0000_s19308"/>
                </a:ext>
                <a:ext uri="{FF2B5EF4-FFF2-40B4-BE49-F238E27FC236}">
                  <a16:creationId xmlns:a16="http://schemas.microsoft.com/office/drawing/2014/main" id="{00000000-0008-0000-0100-00006C4B0000}"/>
                </a:ext>
              </a:extLst>
            </xdr:cNvPr>
            <xdr:cNvSpPr/>
          </xdr:nvSpPr>
          <xdr:spPr bwMode="auto">
            <a:xfrm>
              <a:off x="0" y="0"/>
              <a:ext cx="0" cy="0"/>
            </a:xfrm>
            <a:prstGeom prst="rect">
              <a:avLst/>
            </a:prstGeom>
            <a:noFill/>
            <a:ln w="9525">
              <a:miter lim="800000"/>
              <a:headEnd/>
              <a:tailEnd/>
            </a:ln>
          </xdr:spPr>
          <xdr:txBody>
            <a:bodyPr vertOverflow="clip" wrap="square" lIns="45720" tIns="27432" rIns="45720" bIns="27432" anchor="ctr" upright="1"/>
            <a:lstStyle/>
            <a:p>
              <a:pPr algn="ctr" rtl="0">
                <a:defRPr sz="1000"/>
              </a:pPr>
              <a:r>
                <a:rPr lang="zh-CN" altLang="en-US" sz="1400" b="1" i="0" u="none" strike="noStrike" baseline="0">
                  <a:solidFill>
                    <a:srgbClr val="000000"/>
                  </a:solidFill>
                  <a:latin typeface="宋体"/>
                  <a:ea typeface="宋体"/>
                </a:rPr>
                <a:t>切换英文版</a:t>
              </a:r>
            </a:p>
          </xdr:txBody>
        </xdr:sp>
        <xdr:clientData fPrintsWithSheet="0"/>
      </xdr:twoCellAnchor>
    </mc:Choice>
    <mc:Fallback/>
  </mc:AlternateContent>
</xdr:wsDr>
</file>

<file path=xl/drawings/drawing3.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TextBox 1"/>
        <cdr:cNvSpPr txBox="1"/>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400" b="1">
              <a:latin typeface="Times New Roman" pitchFamily="18" charset="0"/>
              <a:cs typeface="Times New Roman" pitchFamily="18" charset="0"/>
            </a:rPr>
            <a:t>elevation</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m)</a:t>
          </a:r>
          <a:endParaRPr lang="zh-CN" altLang="en-US" sz="1400" b="1">
            <a:latin typeface="Times New Roman" pitchFamily="18" charset="0"/>
            <a:cs typeface="Times New Roman" pitchFamily="18" charset="0"/>
          </a:endParaRPr>
        </a:p>
      </cdr:txBody>
    </cdr:sp>
  </cdr:relSizeAnchor>
  <cdr:relSizeAnchor xmlns:cdr="http://schemas.openxmlformats.org/drawingml/2006/chartDrawing">
    <cdr:from>
      <cdr:x>0.42731</cdr:x>
      <cdr:y>0.88514</cdr:y>
    </cdr:from>
    <cdr:to>
      <cdr:x>0.72434</cdr:x>
      <cdr:y>0.97025</cdr:y>
    </cdr:to>
    <cdr:sp macro="" textlink="">
      <cdr:nvSpPr>
        <cdr:cNvPr id="3" name="TextBox 1"/>
        <cdr:cNvSpPr txBox="1"/>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400" b="1">
              <a:latin typeface="Times New Roman" pitchFamily="18" charset="0"/>
              <a:cs typeface="Times New Roman" pitchFamily="18" charset="0"/>
            </a:rPr>
            <a:t>Time</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h</a:t>
          </a:r>
          <a:r>
            <a:rPr lang="zh-CN" altLang="en-US" sz="1400" b="1">
              <a:latin typeface="Times New Roman" pitchFamily="18" charset="0"/>
              <a:cs typeface="Times New Roman" pitchFamily="18" charset="0"/>
            </a:rPr>
            <a:t>）</a:t>
          </a:r>
        </a:p>
      </cdr:txBody>
    </cdr:sp>
  </cdr:relSizeAnchor>
</c:userShapes>
</file>

<file path=xl/drawings/drawing4.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TextBox 1"/>
        <cdr:cNvSpPr txBox="1"/>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0.00139</cdr:x>
      <cdr:y>0.26166</cdr:y>
    </cdr:from>
    <cdr:to>
      <cdr:x>0.06172</cdr:x>
      <cdr:y>0.51834</cdr:y>
    </cdr:to>
    <cdr:sp macro="" textlink="">
      <cdr:nvSpPr>
        <cdr:cNvPr id="3" name="TextBox 2"/>
        <cdr:cNvSpPr txBox="1"/>
      </cdr:nvSpPr>
      <cdr:spPr>
        <a:xfrm xmlns:a="http://schemas.openxmlformats.org/drawingml/2006/main">
          <a:off x="8801" y="957060"/>
          <a:ext cx="382983" cy="938833"/>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400" b="1">
              <a:latin typeface="Times New Roman" pitchFamily="18" charset="0"/>
              <a:cs typeface="Times New Roman" pitchFamily="18" charset="0"/>
            </a:rPr>
            <a:t>Dam</a:t>
          </a:r>
          <a:r>
            <a:rPr lang="en-US" altLang="zh-CN" sz="1400" b="1" baseline="0">
              <a:latin typeface="Times New Roman" pitchFamily="18" charset="0"/>
              <a:cs typeface="Times New Roman" pitchFamily="18" charset="0"/>
            </a:rPr>
            <a:t> flow</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m</a:t>
          </a:r>
          <a:r>
            <a:rPr lang="en-US" altLang="zh-CN" sz="1400" b="1" baseline="30000">
              <a:latin typeface="Times New Roman" pitchFamily="18" charset="0"/>
              <a:cs typeface="Times New Roman" pitchFamily="18" charset="0"/>
            </a:rPr>
            <a:t>3</a:t>
          </a:r>
          <a:r>
            <a:rPr lang="en-US" altLang="zh-CN" sz="1400" b="1">
              <a:latin typeface="Times New Roman" pitchFamily="18" charset="0"/>
              <a:cs typeface="Times New Roman" pitchFamily="18" charset="0"/>
            </a:rPr>
            <a:t>/s)</a:t>
          </a:r>
          <a:endParaRPr lang="zh-CN" altLang="en-US" sz="1400" b="1">
            <a:latin typeface="Times New Roman" pitchFamily="18" charset="0"/>
            <a:cs typeface="Times New Roman" pitchFamily="18" charset="0"/>
          </a:endParaRPr>
        </a:p>
      </cdr:txBody>
    </cdr:sp>
  </cdr:relSizeAnchor>
  <cdr:relSizeAnchor xmlns:cdr="http://schemas.openxmlformats.org/drawingml/2006/chartDrawing">
    <cdr:from>
      <cdr:x>0.46908</cdr:x>
      <cdr:y>0.90713</cdr:y>
    </cdr:from>
    <cdr:to>
      <cdr:x>0.77009</cdr:x>
      <cdr:y>0.99082</cdr:y>
    </cdr:to>
    <cdr:sp macro="" textlink="">
      <cdr:nvSpPr>
        <cdr:cNvPr id="4" name="TextBox 3"/>
        <cdr:cNvSpPr txBox="1"/>
      </cdr:nvSpPr>
      <cdr:spPr>
        <a:xfrm xmlns:a="http://schemas.openxmlformats.org/drawingml/2006/main">
          <a:off x="2616963" y="4381945"/>
          <a:ext cx="1679313" cy="404268"/>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400" b="1">
              <a:latin typeface="Times New Roman" pitchFamily="18" charset="0"/>
              <a:cs typeface="Times New Roman" pitchFamily="18" charset="0"/>
            </a:rPr>
            <a:t>Time</a:t>
          </a:r>
          <a:r>
            <a:rPr lang="zh-CN" altLang="en-US" sz="1400" b="1">
              <a:latin typeface="Times New Roman" pitchFamily="18" charset="0"/>
              <a:cs typeface="Times New Roman" pitchFamily="18" charset="0"/>
            </a:rPr>
            <a:t>（</a:t>
          </a:r>
          <a:r>
            <a:rPr lang="en-US" altLang="zh-CN" sz="1400" b="1">
              <a:latin typeface="Times New Roman" pitchFamily="18" charset="0"/>
              <a:cs typeface="Times New Roman" pitchFamily="18" charset="0"/>
            </a:rPr>
            <a:t>h</a:t>
          </a:r>
          <a:r>
            <a:rPr lang="zh-CN" altLang="en-US" sz="1400" b="1">
              <a:latin typeface="Times New Roman" pitchFamily="18" charset="0"/>
              <a:cs typeface="Times New Roman" pitchFamily="18" charset="0"/>
            </a:rPr>
            <a:t>）</a:t>
          </a:r>
        </a:p>
      </cdr:txBody>
    </cdr:sp>
  </cdr:relSizeAnchor>
</c:userShapes>
</file>

<file path=xl/drawings/drawing5.xml><?xml version="1.0" encoding="utf-8"?>
<xdr:wsDr xmlns:xdr="http://schemas.openxmlformats.org/drawingml/2006/spreadsheetDrawing" xmlns:a="http://schemas.openxmlformats.org/drawingml/2006/main">
  <xdr:twoCellAnchor>
    <xdr:from>
      <xdr:col>5</xdr:col>
      <xdr:colOff>428625</xdr:colOff>
      <xdr:row>8</xdr:row>
      <xdr:rowOff>19050</xdr:rowOff>
    </xdr:from>
    <xdr:to>
      <xdr:col>11</xdr:col>
      <xdr:colOff>180975</xdr:colOff>
      <xdr:row>22</xdr:row>
      <xdr:rowOff>0</xdr:rowOff>
    </xdr:to>
    <xdr:graphicFrame macro="">
      <xdr:nvGraphicFramePr>
        <xdr:cNvPr id="2" name="图表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438150</xdr:colOff>
      <xdr:row>11</xdr:row>
      <xdr:rowOff>66674</xdr:rowOff>
    </xdr:from>
    <xdr:to>
      <xdr:col>5</xdr:col>
      <xdr:colOff>800100</xdr:colOff>
      <xdr:row>16</xdr:row>
      <xdr:rowOff>19050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4438650" y="2933699"/>
          <a:ext cx="361950" cy="809626"/>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p>
          <a:r>
            <a:rPr lang="zh-CN" altLang="en-US" sz="900" b="1">
              <a:ln>
                <a:noFill/>
              </a:ln>
              <a:solidFill>
                <a:schemeClr val="dk1"/>
              </a:solidFill>
              <a:latin typeface="+mn-lt"/>
              <a:ea typeface="+mn-ea"/>
              <a:cs typeface="+mn-cs"/>
            </a:rPr>
            <a:t>库容</a:t>
          </a:r>
          <a:r>
            <a:rPr lang="en-US" sz="900" b="1">
              <a:ln>
                <a:noFill/>
              </a:ln>
              <a:solidFill>
                <a:schemeClr val="dk1"/>
              </a:solidFill>
              <a:latin typeface="+mn-lt"/>
              <a:ea typeface="+mn-ea"/>
              <a:cs typeface="+mn-cs"/>
            </a:rPr>
            <a:t>W(10</a:t>
          </a:r>
          <a:r>
            <a:rPr lang="en-US" sz="900" b="1" baseline="30000">
              <a:ln>
                <a:noFill/>
              </a:ln>
              <a:solidFill>
                <a:schemeClr val="dk1"/>
              </a:solidFill>
              <a:latin typeface="+mn-lt"/>
              <a:ea typeface="+mn-ea"/>
              <a:cs typeface="+mn-cs"/>
            </a:rPr>
            <a:t>6)</a:t>
          </a:r>
          <a:endParaRPr lang="zh-CN" altLang="en-US" sz="900">
            <a:ln>
              <a:noFill/>
            </a:ln>
          </a:endParaRPr>
        </a:p>
      </xdr:txBody>
    </xdr:sp>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2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62"/>
          <a:ext cx="1475014" cy="1185034"/>
        </a:xfrm>
        <a:prstGeom prst="rect">
          <a:avLst/>
        </a:prstGeom>
      </xdr:spPr>
    </xdr:pic>
    <xdr:clientData/>
  </xdr:twoCellAnchor>
  <xdr:twoCellAnchor>
    <xdr:from>
      <xdr:col>11</xdr:col>
      <xdr:colOff>784412</xdr:colOff>
      <xdr:row>9</xdr:row>
      <xdr:rowOff>123265</xdr:rowOff>
    </xdr:from>
    <xdr:to>
      <xdr:col>16</xdr:col>
      <xdr:colOff>100852</xdr:colOff>
      <xdr:row>23</xdr:row>
      <xdr:rowOff>44823</xdr:rowOff>
    </xdr:to>
    <xdr:sp macro="" textlink="">
      <xdr:nvSpPr>
        <xdr:cNvPr id="12" name="TextBox 2">
          <a:extLst>
            <a:ext uri="{FF2B5EF4-FFF2-40B4-BE49-F238E27FC236}">
              <a16:creationId xmlns:a16="http://schemas.microsoft.com/office/drawing/2014/main" id="{00000000-0008-0000-0200-00000C000000}"/>
            </a:ext>
          </a:extLst>
        </xdr:cNvPr>
        <xdr:cNvSpPr txBox="1"/>
      </xdr:nvSpPr>
      <xdr:spPr>
        <a:xfrm>
          <a:off x="9693088" y="2588559"/>
          <a:ext cx="3866029" cy="235323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400"/>
            <a:t>计算步骤：</a:t>
          </a:r>
          <a:endParaRPr lang="en-US" altLang="zh-CN" sz="1400"/>
        </a:p>
        <a:p>
          <a:r>
            <a:rPr lang="en-US" altLang="zh-CN" sz="1400"/>
            <a:t>1</a:t>
          </a:r>
          <a:r>
            <a:rPr lang="zh-CN" altLang="en-US" sz="1400"/>
            <a:t>、在“</a:t>
          </a:r>
          <a:r>
            <a:rPr lang="en-US" altLang="zh-CN" sz="1400"/>
            <a:t>Storage Capacity VS. Water Level </a:t>
          </a:r>
          <a:r>
            <a:rPr lang="zh-CN" altLang="en-US" sz="1400"/>
            <a:t>”输入三个控制点和基准高程。（注意库容单位为</a:t>
          </a:r>
          <a:r>
            <a:rPr lang="en-US" altLang="zh-CN" sz="1400"/>
            <a:t>10</a:t>
          </a:r>
          <a:r>
            <a:rPr lang="en-US" altLang="zh-CN" sz="1400" baseline="30000"/>
            <a:t>6</a:t>
          </a:r>
          <a:r>
            <a:rPr lang="en-US" altLang="zh-CN" sz="1400"/>
            <a:t>m</a:t>
          </a:r>
          <a:r>
            <a:rPr lang="en-US" altLang="zh-CN" sz="1400" baseline="30000"/>
            <a:t>3</a:t>
          </a:r>
          <a:r>
            <a:rPr lang="zh-CN" altLang="en-US" sz="1400"/>
            <a:t>）</a:t>
          </a:r>
          <a:endParaRPr lang="en-US" altLang="zh-CN" sz="1400"/>
        </a:p>
        <a:p>
          <a:r>
            <a:rPr lang="en-US" altLang="zh-CN" sz="1400"/>
            <a:t>2</a:t>
          </a:r>
          <a:r>
            <a:rPr lang="zh-CN" altLang="en-US" sz="1400"/>
            <a:t>、按“自动回归参数”按钮，即可看到“</a:t>
          </a:r>
          <a:r>
            <a:rPr lang="en-US" altLang="zh-CN" sz="1400"/>
            <a:t>curve of reservoir storage capacity </a:t>
          </a:r>
          <a:r>
            <a:rPr lang="zh-CN" altLang="en-US" sz="1400"/>
            <a:t>”的回归结果。</a:t>
          </a:r>
          <a:endParaRPr lang="en-US" altLang="zh-CN" sz="1400"/>
        </a:p>
        <a:p>
          <a:r>
            <a:rPr lang="en-US" altLang="zh-CN" sz="1400"/>
            <a:t>3</a:t>
          </a:r>
          <a:r>
            <a:rPr lang="zh-CN" altLang="en-US" sz="1400"/>
            <a:t>、按“返回计算页面”按钮，相关参数将自动连接到“</a:t>
          </a:r>
          <a:r>
            <a:rPr lang="en-US" altLang="zh-CN" sz="1400"/>
            <a:t>calculation</a:t>
          </a:r>
          <a:r>
            <a:rPr lang="zh-CN" altLang="en-US" sz="1400"/>
            <a:t>”页面。</a:t>
          </a:r>
        </a:p>
      </xdr:txBody>
    </xdr:sp>
    <xdr:clientData/>
  </xdr:twoCellAnchor>
  <mc:AlternateContent xmlns:mc="http://schemas.openxmlformats.org/markup-compatibility/2006">
    <mc:Choice xmlns:a14="http://schemas.microsoft.com/office/drawing/2010/main" Requires="a14">
      <xdr:twoCellAnchor>
        <xdr:from>
          <xdr:col>1</xdr:col>
          <xdr:colOff>0</xdr:colOff>
          <xdr:row>14</xdr:row>
          <xdr:rowOff>60960</xdr:rowOff>
        </xdr:from>
        <xdr:to>
          <xdr:col>2</xdr:col>
          <xdr:colOff>678180</xdr:colOff>
          <xdr:row>16</xdr:row>
          <xdr:rowOff>60960</xdr:rowOff>
        </xdr:to>
        <xdr:sp macro="" textlink="">
          <xdr:nvSpPr>
            <xdr:cNvPr id="4097" name="Button 1"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0" i="0" u="none" strike="noStrike" baseline="0">
                  <a:solidFill>
                    <a:srgbClr val="000000"/>
                  </a:solidFill>
                  <a:latin typeface="宋体"/>
                  <a:ea typeface="宋体"/>
                </a:rPr>
                <a:t>自动回归参数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403860</xdr:colOff>
          <xdr:row>4</xdr:row>
          <xdr:rowOff>22860</xdr:rowOff>
        </xdr:from>
        <xdr:to>
          <xdr:col>5</xdr:col>
          <xdr:colOff>182880</xdr:colOff>
          <xdr:row>24</xdr:row>
          <xdr:rowOff>0</xdr:rowOff>
        </xdr:to>
        <xdr:sp macro="" textlink="">
          <xdr:nvSpPr>
            <xdr:cNvPr id="4098" name="Group Box 2" hidden="1">
              <a:extLst>
                <a:ext uri="{63B3BB69-23CF-44E3-9099-C40C66FF867C}">
                  <a14:compatExt spid="_x0000_s4098"/>
                </a:ext>
                <a:ext uri="{FF2B5EF4-FFF2-40B4-BE49-F238E27FC236}">
                  <a16:creationId xmlns:a16="http://schemas.microsoft.com/office/drawing/2014/main" id="{00000000-0008-0000-0200-000002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Storage Capacity VS.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4</xdr:row>
          <xdr:rowOff>38100</xdr:rowOff>
        </xdr:from>
        <xdr:to>
          <xdr:col>11</xdr:col>
          <xdr:colOff>510540</xdr:colOff>
          <xdr:row>24</xdr:row>
          <xdr:rowOff>0</xdr:rowOff>
        </xdr:to>
        <xdr:sp macro="" textlink="">
          <xdr:nvSpPr>
            <xdr:cNvPr id="4099" name="Group Box 3" hidden="1">
              <a:extLst>
                <a:ext uri="{63B3BB69-23CF-44E3-9099-C40C66FF867C}">
                  <a14:compatExt spid="_x0000_s4099"/>
                </a:ext>
                <a:ext uri="{FF2B5EF4-FFF2-40B4-BE49-F238E27FC236}">
                  <a16:creationId xmlns:a16="http://schemas.microsoft.com/office/drawing/2014/main" id="{00000000-0008-0000-0200-000003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Quadratic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624840</xdr:colOff>
          <xdr:row>4</xdr:row>
          <xdr:rowOff>53340</xdr:rowOff>
        </xdr:from>
        <xdr:to>
          <xdr:col>16</xdr:col>
          <xdr:colOff>297180</xdr:colOff>
          <xdr:row>24</xdr:row>
          <xdr:rowOff>0</xdr:rowOff>
        </xdr:to>
        <xdr:sp macro="" textlink="">
          <xdr:nvSpPr>
            <xdr:cNvPr id="4100" name="Group Box 4" hidden="1">
              <a:extLst>
                <a:ext uri="{63B3BB69-23CF-44E3-9099-C40C66FF867C}">
                  <a14:compatExt spid="_x0000_s4100"/>
                </a:ext>
                <a:ext uri="{FF2B5EF4-FFF2-40B4-BE49-F238E27FC236}">
                  <a16:creationId xmlns:a16="http://schemas.microsoft.com/office/drawing/2014/main" id="{00000000-0008-0000-0200-0000041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curve of reservoir storage capacity                 </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0</xdr:colOff>
          <xdr:row>17</xdr:row>
          <xdr:rowOff>137160</xdr:rowOff>
        </xdr:from>
        <xdr:to>
          <xdr:col>2</xdr:col>
          <xdr:colOff>632460</xdr:colOff>
          <xdr:row>19</xdr:row>
          <xdr:rowOff>167640</xdr:rowOff>
        </xdr:to>
        <xdr:sp macro="" textlink="">
          <xdr:nvSpPr>
            <xdr:cNvPr id="4101" name="Button 5" hidden="1">
              <a:extLst>
                <a:ext uri="{63B3BB69-23CF-44E3-9099-C40C66FF867C}">
                  <a14:compatExt spid="_x0000_s4101"/>
                </a:ext>
                <a:ext uri="{FF2B5EF4-FFF2-40B4-BE49-F238E27FC236}">
                  <a16:creationId xmlns:a16="http://schemas.microsoft.com/office/drawing/2014/main" id="{00000000-0008-0000-0200-0000051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xdr:wsDr>
</file>

<file path=xl/drawings/drawing6.xml><?xml version="1.0" encoding="utf-8"?>
<c:userShapes xmlns:c="http://schemas.openxmlformats.org/drawingml/2006/chart">
  <cdr:relSizeAnchor xmlns:cdr="http://schemas.openxmlformats.org/drawingml/2006/chartDrawing">
    <cdr:from>
      <cdr:x>0.45619</cdr:x>
      <cdr:y>0.91321</cdr:y>
    </cdr:from>
    <cdr:to>
      <cdr:x>0.76601</cdr:x>
      <cdr:y>1</cdr:y>
    </cdr:to>
    <cdr:sp macro="" textlink="">
      <cdr:nvSpPr>
        <cdr:cNvPr id="2" name="TextBox 1"/>
        <cdr:cNvSpPr txBox="1"/>
      </cdr:nvSpPr>
      <cdr:spPr>
        <a:xfrm xmlns:a="http://schemas.openxmlformats.org/drawingml/2006/main">
          <a:off x="2129153" y="2305051"/>
          <a:ext cx="1446007" cy="219074"/>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elevation H(m)</a:t>
          </a:r>
          <a:endParaRPr lang="zh-CN" altLang="en-US" sz="1100" b="1"/>
        </a:p>
      </cdr:txBody>
    </cdr:sp>
  </cdr:relSizeAnchor>
</c:userShapes>
</file>

<file path=xl/drawings/drawing7.xml><?xml version="1.0" encoding="utf-8"?>
<xdr:wsDr xmlns:xdr="http://schemas.openxmlformats.org/drawingml/2006/spreadsheetDrawing" xmlns:a="http://schemas.openxmlformats.org/drawingml/2006/main">
  <xdr:twoCellAnchor>
    <xdr:from>
      <xdr:col>5</xdr:col>
      <xdr:colOff>409575</xdr:colOff>
      <xdr:row>7</xdr:row>
      <xdr:rowOff>171450</xdr:rowOff>
    </xdr:from>
    <xdr:to>
      <xdr:col>11</xdr:col>
      <xdr:colOff>161925</xdr:colOff>
      <xdr:row>21</xdr:row>
      <xdr:rowOff>123825</xdr:rowOff>
    </xdr:to>
    <xdr:graphicFrame macro="">
      <xdr:nvGraphicFramePr>
        <xdr:cNvPr id="6" name="图表 5">
          <a:extLst>
            <a:ext uri="{FF2B5EF4-FFF2-40B4-BE49-F238E27FC236}">
              <a16:creationId xmlns:a16="http://schemas.microsoft.com/office/drawing/2014/main" id="{00000000-0008-0000-03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1361</xdr:rowOff>
    </xdr:from>
    <xdr:to>
      <xdr:col>2</xdr:col>
      <xdr:colOff>114300</xdr:colOff>
      <xdr:row>1</xdr:row>
      <xdr:rowOff>66674</xdr:rowOff>
    </xdr:to>
    <xdr:pic>
      <xdr:nvPicPr>
        <xdr:cNvPr id="8" name="Picture 2">
          <a:extLst>
            <a:ext uri="{FF2B5EF4-FFF2-40B4-BE49-F238E27FC236}">
              <a16:creationId xmlns:a16="http://schemas.microsoft.com/office/drawing/2014/main" id="{00000000-0008-0000-0300-000008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61"/>
          <a:ext cx="1485900" cy="998763"/>
        </a:xfrm>
        <a:prstGeom prst="rect">
          <a:avLst/>
        </a:prstGeom>
      </xdr:spPr>
    </xdr:pic>
    <xdr:clientData/>
  </xdr:twoCellAnchor>
  <xdr:twoCellAnchor>
    <xdr:from>
      <xdr:col>11</xdr:col>
      <xdr:colOff>784412</xdr:colOff>
      <xdr:row>9</xdr:row>
      <xdr:rowOff>123265</xdr:rowOff>
    </xdr:from>
    <xdr:to>
      <xdr:col>16</xdr:col>
      <xdr:colOff>533400</xdr:colOff>
      <xdr:row>23</xdr:row>
      <xdr:rowOff>44823</xdr:rowOff>
    </xdr:to>
    <xdr:sp macro="" textlink="">
      <xdr:nvSpPr>
        <xdr:cNvPr id="9" name="TextBox 2">
          <a:extLst>
            <a:ext uri="{FF2B5EF4-FFF2-40B4-BE49-F238E27FC236}">
              <a16:creationId xmlns:a16="http://schemas.microsoft.com/office/drawing/2014/main" id="{00000000-0008-0000-0300-000009000000}"/>
            </a:ext>
          </a:extLst>
        </xdr:cNvPr>
        <xdr:cNvSpPr txBox="1"/>
      </xdr:nvSpPr>
      <xdr:spPr>
        <a:xfrm>
          <a:off x="9699812" y="3076015"/>
          <a:ext cx="4292413" cy="2474258"/>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400">
              <a:latin typeface="Times New Roman" panose="02020603050405020304" pitchFamily="18" charset="0"/>
              <a:cs typeface="Times New Roman" panose="02020603050405020304" pitchFamily="18" charset="0"/>
            </a:rPr>
            <a:t>计算步骤：</a:t>
          </a:r>
          <a:endParaRPr lang="en-US" altLang="zh-CN" sz="1400">
            <a:latin typeface="Times New Roman" panose="02020603050405020304" pitchFamily="18" charset="0"/>
            <a:cs typeface="Times New Roman" panose="02020603050405020304" pitchFamily="18" charset="0"/>
          </a:endParaRPr>
        </a:p>
        <a:p>
          <a:r>
            <a:rPr lang="en-US" altLang="zh-CN" sz="1400">
              <a:latin typeface="Times New Roman" panose="02020603050405020304" pitchFamily="18" charset="0"/>
              <a:cs typeface="Times New Roman" panose="02020603050405020304" pitchFamily="18" charset="0"/>
            </a:rPr>
            <a:t>1</a:t>
          </a:r>
          <a:r>
            <a:rPr lang="zh-CN" altLang="en-US" sz="1400">
              <a:latin typeface="Times New Roman" panose="02020603050405020304" pitchFamily="18" charset="0"/>
              <a:cs typeface="Times New Roman" panose="02020603050405020304" pitchFamily="18" charset="0"/>
            </a:rPr>
            <a:t>、在“</a:t>
          </a:r>
          <a:r>
            <a:rPr lang="en-US" altLang="zh-CN" sz="1400">
              <a:latin typeface="Times New Roman" panose="02020603050405020304" pitchFamily="18" charset="0"/>
              <a:cs typeface="Times New Roman" panose="02020603050405020304" pitchFamily="18" charset="0"/>
            </a:rPr>
            <a:t>erosion rate VS. Shear stress      </a:t>
          </a:r>
          <a:r>
            <a:rPr lang="zh-CN" altLang="en-US" sz="1400">
              <a:latin typeface="Times New Roman" panose="02020603050405020304" pitchFamily="18" charset="0"/>
              <a:cs typeface="Times New Roman" panose="02020603050405020304" pitchFamily="18" charset="0"/>
            </a:rPr>
            <a:t>”输入三个冲蚀率和剪应力。（注意冲蚀率单位为</a:t>
          </a:r>
          <a:r>
            <a:rPr lang="en-US" altLang="zh-CN" sz="1400">
              <a:latin typeface="Times New Roman" panose="02020603050405020304" pitchFamily="18" charset="0"/>
              <a:cs typeface="Times New Roman" panose="02020603050405020304" pitchFamily="18" charset="0"/>
            </a:rPr>
            <a:t>10 </a:t>
          </a:r>
          <a:r>
            <a:rPr lang="en-US" altLang="zh-CN" sz="1400" baseline="30000">
              <a:latin typeface="Times New Roman" panose="02020603050405020304" pitchFamily="18" charset="0"/>
              <a:cs typeface="Times New Roman" panose="02020603050405020304" pitchFamily="18" charset="0"/>
            </a:rPr>
            <a:t>-3</a:t>
          </a:r>
          <a:r>
            <a:rPr lang="en-US" altLang="zh-CN" sz="1400">
              <a:latin typeface="Times New Roman" panose="02020603050405020304" pitchFamily="18" charset="0"/>
              <a:cs typeface="Times New Roman" panose="02020603050405020304" pitchFamily="18" charset="0"/>
            </a:rPr>
            <a:t>mm/s</a:t>
          </a:r>
          <a:r>
            <a:rPr lang="zh-CN" altLang="en-US" sz="1400">
              <a:latin typeface="Times New Roman" panose="02020603050405020304" pitchFamily="18" charset="0"/>
              <a:cs typeface="Times New Roman" panose="02020603050405020304" pitchFamily="18" charset="0"/>
            </a:rPr>
            <a:t>，输入的剪应力应为</a:t>
          </a:r>
          <a:r>
            <a:rPr lang="en-US" altLang="zh-CN" sz="1400">
              <a:latin typeface="Times New Roman" panose="02020603050405020304" pitchFamily="18" charset="0"/>
              <a:cs typeface="Times New Roman" panose="02020603050405020304" pitchFamily="18" charset="0"/>
            </a:rPr>
            <a:t>100(</a:t>
          </a:r>
          <a:r>
            <a:rPr lang="en-US" altLang="zh-CN" sz="1400">
              <a:latin typeface="Times New Roman" panose="02020603050405020304" pitchFamily="18" charset="0"/>
              <a:cs typeface="Times New Roman" panose="02020603050405020304" pitchFamily="18" charset="0"/>
              <a:sym typeface="Symbol"/>
            </a:rPr>
            <a:t>-</a:t>
          </a:r>
          <a:r>
            <a:rPr lang="en-US" altLang="zh-CN" sz="1400" baseline="-25000">
              <a:latin typeface="Times New Roman" panose="02020603050405020304" pitchFamily="18" charset="0"/>
              <a:cs typeface="Times New Roman" panose="02020603050405020304" pitchFamily="18" charset="0"/>
              <a:sym typeface="Symbol"/>
            </a:rPr>
            <a:t>c</a:t>
          </a:r>
          <a:r>
            <a:rPr lang="en-US" altLang="zh-CN" sz="1400">
              <a:latin typeface="Times New Roman" panose="02020603050405020304" pitchFamily="18" charset="0"/>
              <a:cs typeface="Times New Roman" panose="02020603050405020304" pitchFamily="18" charset="0"/>
            </a:rPr>
            <a:t>)</a:t>
          </a:r>
        </a:p>
        <a:p>
          <a:r>
            <a:rPr lang="en-US" altLang="zh-CN" sz="1400">
              <a:latin typeface="Times New Roman" panose="02020603050405020304" pitchFamily="18" charset="0"/>
              <a:cs typeface="Times New Roman" panose="02020603050405020304" pitchFamily="18" charset="0"/>
            </a:rPr>
            <a:t>2</a:t>
          </a:r>
          <a:r>
            <a:rPr lang="zh-CN" altLang="en-US" sz="1400">
              <a:latin typeface="Times New Roman" panose="02020603050405020304" pitchFamily="18" charset="0"/>
              <a:cs typeface="Times New Roman" panose="02020603050405020304" pitchFamily="18" charset="0"/>
            </a:rPr>
            <a:t>、按“自动回归参数”按钮，即可看到“</a:t>
          </a:r>
          <a:r>
            <a:rPr lang="en-US" altLang="zh-CN" sz="1400">
              <a:latin typeface="Times New Roman" panose="02020603050405020304" pitchFamily="18" charset="0"/>
              <a:cs typeface="Times New Roman" panose="02020603050405020304" pitchFamily="18" charset="0"/>
            </a:rPr>
            <a:t>curve of </a:t>
          </a:r>
          <a:r>
            <a:rPr lang="en-US" altLang="zh-CN" sz="1100">
              <a:solidFill>
                <a:schemeClr val="dk1"/>
              </a:solidFill>
              <a:effectLst/>
              <a:latin typeface="Times New Roman" panose="02020603050405020304" pitchFamily="18" charset="0"/>
              <a:ea typeface="+mn-ea"/>
              <a:cs typeface="Times New Roman" panose="02020603050405020304" pitchFamily="18" charset="0"/>
            </a:rPr>
            <a:t>erosion rate VS. Shear stress</a:t>
          </a:r>
          <a:r>
            <a:rPr lang="zh-CN" altLang="en-US" sz="1400">
              <a:latin typeface="Times New Roman" panose="02020603050405020304" pitchFamily="18" charset="0"/>
              <a:cs typeface="Times New Roman" panose="02020603050405020304" pitchFamily="18" charset="0"/>
            </a:rPr>
            <a:t>”的回归结果。</a:t>
          </a:r>
          <a:endParaRPr lang="en-US" altLang="zh-CN" sz="1400">
            <a:latin typeface="Times New Roman" panose="02020603050405020304" pitchFamily="18" charset="0"/>
            <a:cs typeface="Times New Roman" panose="02020603050405020304" pitchFamily="18" charset="0"/>
          </a:endParaRPr>
        </a:p>
        <a:p>
          <a:r>
            <a:rPr lang="en-US" altLang="zh-CN" sz="1400">
              <a:latin typeface="Times New Roman" panose="02020603050405020304" pitchFamily="18" charset="0"/>
              <a:cs typeface="Times New Roman" panose="02020603050405020304" pitchFamily="18" charset="0"/>
            </a:rPr>
            <a:t>3</a:t>
          </a:r>
          <a:r>
            <a:rPr lang="zh-CN" altLang="en-US" sz="1400">
              <a:latin typeface="Times New Roman" panose="02020603050405020304" pitchFamily="18" charset="0"/>
              <a:cs typeface="Times New Roman" panose="02020603050405020304" pitchFamily="18" charset="0"/>
            </a:rPr>
            <a:t>、按“返回计算页面”按钮，相关参数将自动连接到“</a:t>
          </a:r>
          <a:r>
            <a:rPr lang="en-US" altLang="zh-CN" sz="1400">
              <a:latin typeface="Times New Roman" panose="02020603050405020304" pitchFamily="18" charset="0"/>
              <a:cs typeface="Times New Roman" panose="02020603050405020304" pitchFamily="18" charset="0"/>
            </a:rPr>
            <a:t>calculation</a:t>
          </a:r>
          <a:r>
            <a:rPr lang="zh-CN" altLang="en-US" sz="1400">
              <a:latin typeface="Times New Roman" panose="02020603050405020304" pitchFamily="18" charset="0"/>
              <a:cs typeface="Times New Roman" panose="02020603050405020304" pitchFamily="18" charset="0"/>
            </a:rPr>
            <a:t>”页面。</a:t>
          </a:r>
        </a:p>
      </xdr:txBody>
    </xdr:sp>
    <xdr:clientData/>
  </xdr:twoCellAnchor>
  <mc:AlternateContent xmlns:mc="http://schemas.openxmlformats.org/markup-compatibility/2006">
    <mc:Choice xmlns:a14="http://schemas.microsoft.com/office/drawing/2010/main" Requires="a14">
      <xdr:twoCellAnchor>
        <xdr:from>
          <xdr:col>5</xdr:col>
          <xdr:colOff>266700</xdr:colOff>
          <xdr:row>22</xdr:row>
          <xdr:rowOff>68580</xdr:rowOff>
        </xdr:from>
        <xdr:to>
          <xdr:col>6</xdr:col>
          <xdr:colOff>815340</xdr:colOff>
          <xdr:row>24</xdr:row>
          <xdr:rowOff>106680</xdr:rowOff>
        </xdr:to>
        <xdr:sp macro="" textlink="">
          <xdr:nvSpPr>
            <xdr:cNvPr id="29699" name="Button 3" hidden="1">
              <a:extLst>
                <a:ext uri="{63B3BB69-23CF-44E3-9099-C40C66FF867C}">
                  <a14:compatExt spid="_x0000_s29699"/>
                </a:ext>
                <a:ext uri="{FF2B5EF4-FFF2-40B4-BE49-F238E27FC236}">
                  <a16:creationId xmlns:a16="http://schemas.microsoft.com/office/drawing/2014/main" id="{00000000-0008-0000-0300-000003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0" i="0" u="none" strike="noStrike" baseline="0">
                  <a:solidFill>
                    <a:srgbClr val="000000"/>
                  </a:solidFill>
                  <a:latin typeface="宋体"/>
                  <a:ea typeface="宋体"/>
                </a:rPr>
                <a:t>自动回归参数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403860</xdr:colOff>
          <xdr:row>4</xdr:row>
          <xdr:rowOff>15240</xdr:rowOff>
        </xdr:from>
        <xdr:to>
          <xdr:col>5</xdr:col>
          <xdr:colOff>152400</xdr:colOff>
          <xdr:row>19</xdr:row>
          <xdr:rowOff>38100</xdr:rowOff>
        </xdr:to>
        <xdr:sp macro="" textlink="">
          <xdr:nvSpPr>
            <xdr:cNvPr id="29700" name="Group Box 4" hidden="1">
              <a:extLst>
                <a:ext uri="{63B3BB69-23CF-44E3-9099-C40C66FF867C}">
                  <a14:compatExt spid="_x0000_s29700"/>
                </a:ext>
                <a:ext uri="{FF2B5EF4-FFF2-40B4-BE49-F238E27FC236}">
                  <a16:creationId xmlns:a16="http://schemas.microsoft.com/office/drawing/2014/main" id="{00000000-0008-0000-0300-000004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Erosion rate VS. Shear stress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335280</xdr:colOff>
          <xdr:row>4</xdr:row>
          <xdr:rowOff>38100</xdr:rowOff>
        </xdr:from>
        <xdr:to>
          <xdr:col>11</xdr:col>
          <xdr:colOff>548640</xdr:colOff>
          <xdr:row>21</xdr:row>
          <xdr:rowOff>190500</xdr:rowOff>
        </xdr:to>
        <xdr:sp macro="" textlink="">
          <xdr:nvSpPr>
            <xdr:cNvPr id="29701" name="Group Box 5" hidden="1">
              <a:extLst>
                <a:ext uri="{63B3BB69-23CF-44E3-9099-C40C66FF867C}">
                  <a14:compatExt spid="_x0000_s29701"/>
                </a:ext>
                <a:ext uri="{FF2B5EF4-FFF2-40B4-BE49-F238E27FC236}">
                  <a16:creationId xmlns:a16="http://schemas.microsoft.com/office/drawing/2014/main" id="{00000000-0008-0000-0300-000005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hyperbola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624840</xdr:colOff>
          <xdr:row>4</xdr:row>
          <xdr:rowOff>53340</xdr:rowOff>
        </xdr:from>
        <xdr:to>
          <xdr:col>17</xdr:col>
          <xdr:colOff>15240</xdr:colOff>
          <xdr:row>21</xdr:row>
          <xdr:rowOff>114300</xdr:rowOff>
        </xdr:to>
        <xdr:sp macro="" textlink="">
          <xdr:nvSpPr>
            <xdr:cNvPr id="29702" name="Group Box 6" hidden="1">
              <a:extLst>
                <a:ext uri="{63B3BB69-23CF-44E3-9099-C40C66FF867C}">
                  <a14:compatExt spid="_x0000_s29702"/>
                </a:ext>
                <a:ext uri="{FF2B5EF4-FFF2-40B4-BE49-F238E27FC236}">
                  <a16:creationId xmlns:a16="http://schemas.microsoft.com/office/drawing/2014/main" id="{00000000-0008-0000-0300-0000067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curve of hyperbola                  </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76200</xdr:colOff>
          <xdr:row>22</xdr:row>
          <xdr:rowOff>76200</xdr:rowOff>
        </xdr:from>
        <xdr:to>
          <xdr:col>9</xdr:col>
          <xdr:colOff>571500</xdr:colOff>
          <xdr:row>24</xdr:row>
          <xdr:rowOff>144780</xdr:rowOff>
        </xdr:to>
        <xdr:sp macro="" textlink="">
          <xdr:nvSpPr>
            <xdr:cNvPr id="29703" name="Button 7" hidden="1">
              <a:extLst>
                <a:ext uri="{63B3BB69-23CF-44E3-9099-C40C66FF867C}">
                  <a14:compatExt spid="_x0000_s29703"/>
                </a:ext>
                <a:ext uri="{FF2B5EF4-FFF2-40B4-BE49-F238E27FC236}">
                  <a16:creationId xmlns:a16="http://schemas.microsoft.com/office/drawing/2014/main" id="{00000000-0008-0000-0300-0000077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xdr:twoCellAnchor editAs="oneCell">
    <xdr:from>
      <xdr:col>7</xdr:col>
      <xdr:colOff>447675</xdr:colOff>
      <xdr:row>5</xdr:row>
      <xdr:rowOff>133350</xdr:rowOff>
    </xdr:from>
    <xdr:to>
      <xdr:col>8</xdr:col>
      <xdr:colOff>733425</xdr:colOff>
      <xdr:row>7</xdr:row>
      <xdr:rowOff>66675</xdr:rowOff>
    </xdr:to>
    <xdr:pic>
      <xdr:nvPicPr>
        <xdr:cNvPr id="18" name="图片 17">
          <a:extLst>
            <a:ext uri="{FF2B5EF4-FFF2-40B4-BE49-F238E27FC236}">
              <a16:creationId xmlns:a16="http://schemas.microsoft.com/office/drawing/2014/main" id="{00000000-0008-0000-0300-000012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86475" y="2114550"/>
          <a:ext cx="1104900" cy="40957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247650</xdr:colOff>
      <xdr:row>5</xdr:row>
      <xdr:rowOff>19050</xdr:rowOff>
    </xdr:from>
    <xdr:to>
      <xdr:col>15</xdr:col>
      <xdr:colOff>323850</xdr:colOff>
      <xdr:row>5</xdr:row>
      <xdr:rowOff>219075</xdr:rowOff>
    </xdr:to>
    <xdr:pic>
      <xdr:nvPicPr>
        <xdr:cNvPr id="25" name="图片 24">
          <a:extLst>
            <a:ext uri="{FF2B5EF4-FFF2-40B4-BE49-F238E27FC236}">
              <a16:creationId xmlns:a16="http://schemas.microsoft.com/office/drawing/2014/main" id="{00000000-0008-0000-0300-00001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2068175" y="2000250"/>
          <a:ext cx="8953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381000</xdr:colOff>
      <xdr:row>6</xdr:row>
      <xdr:rowOff>47625</xdr:rowOff>
    </xdr:from>
    <xdr:to>
      <xdr:col>15</xdr:col>
      <xdr:colOff>190500</xdr:colOff>
      <xdr:row>7</xdr:row>
      <xdr:rowOff>9525</xdr:rowOff>
    </xdr:to>
    <xdr:pic>
      <xdr:nvPicPr>
        <xdr:cNvPr id="26" name="图片 25">
          <a:extLst>
            <a:ext uri="{FF2B5EF4-FFF2-40B4-BE49-F238E27FC236}">
              <a16:creationId xmlns:a16="http://schemas.microsoft.com/office/drawing/2014/main" id="{00000000-0008-0000-0300-00001A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2201525" y="2266950"/>
          <a:ext cx="628650" cy="2000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xdr:from>
      <xdr:col>6</xdr:col>
      <xdr:colOff>597830</xdr:colOff>
      <xdr:row>4</xdr:row>
      <xdr:rowOff>94777</xdr:rowOff>
    </xdr:from>
    <xdr:to>
      <xdr:col>12</xdr:col>
      <xdr:colOff>165652</xdr:colOff>
      <xdr:row>19</xdr:row>
      <xdr:rowOff>99392</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0</xdr:colOff>
      <xdr:row>0</xdr:row>
      <xdr:rowOff>1362</xdr:rowOff>
    </xdr:from>
    <xdr:to>
      <xdr:col>2</xdr:col>
      <xdr:colOff>114300</xdr:colOff>
      <xdr:row>2</xdr:row>
      <xdr:rowOff>397182</xdr:rowOff>
    </xdr:to>
    <xdr:pic>
      <xdr:nvPicPr>
        <xdr:cNvPr id="6" name="Picture 2">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1362"/>
          <a:ext cx="1485900" cy="1186395"/>
        </a:xfrm>
        <a:prstGeom prst="rect">
          <a:avLst/>
        </a:prstGeom>
      </xdr:spPr>
    </xdr:pic>
    <xdr:clientData/>
  </xdr:twoCellAnchor>
  <xdr:twoCellAnchor>
    <xdr:from>
      <xdr:col>13</xdr:col>
      <xdr:colOff>49695</xdr:colOff>
      <xdr:row>4</xdr:row>
      <xdr:rowOff>165653</xdr:rowOff>
    </xdr:from>
    <xdr:to>
      <xdr:col>18</xdr:col>
      <xdr:colOff>115956</xdr:colOff>
      <xdr:row>19</xdr:row>
      <xdr:rowOff>115958</xdr:rowOff>
    </xdr:to>
    <xdr:graphicFrame macro="">
      <xdr:nvGraphicFramePr>
        <xdr:cNvPr id="7" name="图表 6">
          <a:extLst>
            <a:ext uri="{FF2B5EF4-FFF2-40B4-BE49-F238E27FC236}">
              <a16:creationId xmlns:a16="http://schemas.microsoft.com/office/drawing/2014/main" id="{00000000-0008-0000-04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263769</xdr:colOff>
      <xdr:row>8</xdr:row>
      <xdr:rowOff>87923</xdr:rowOff>
    </xdr:from>
    <xdr:to>
      <xdr:col>8</xdr:col>
      <xdr:colOff>256442</xdr:colOff>
      <xdr:row>9</xdr:row>
      <xdr:rowOff>102577</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920154" y="2300654"/>
          <a:ext cx="813288" cy="197827"/>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altLang="zh-CN" sz="1100"/>
            <a:t>z</a:t>
          </a:r>
          <a:r>
            <a:rPr lang="en-US" altLang="zh-CN" sz="600"/>
            <a:t>ult</a:t>
          </a:r>
          <a:r>
            <a:rPr lang="en-US" altLang="zh-CN" sz="1100"/>
            <a:t>=1/b</a:t>
          </a:r>
          <a:endParaRPr lang="zh-CN" alt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434340</xdr:colOff>
          <xdr:row>3</xdr:row>
          <xdr:rowOff>137160</xdr:rowOff>
        </xdr:from>
        <xdr:to>
          <xdr:col>6</xdr:col>
          <xdr:colOff>22860</xdr:colOff>
          <xdr:row>13</xdr:row>
          <xdr:rowOff>38100</xdr:rowOff>
        </xdr:to>
        <xdr:sp macro="" textlink="">
          <xdr:nvSpPr>
            <xdr:cNvPr id="11266" name="Group Box 2" hidden="1">
              <a:extLst>
                <a:ext uri="{63B3BB69-23CF-44E3-9099-C40C66FF867C}">
                  <a14:compatExt spid="_x0000_s11266"/>
                </a:ext>
                <a:ext uri="{FF2B5EF4-FFF2-40B4-BE49-F238E27FC236}">
                  <a16:creationId xmlns:a16="http://schemas.microsoft.com/office/drawing/2014/main" id="{00000000-0008-0000-0400-000002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449580</xdr:colOff>
          <xdr:row>3</xdr:row>
          <xdr:rowOff>114300</xdr:rowOff>
        </xdr:from>
        <xdr:to>
          <xdr:col>12</xdr:col>
          <xdr:colOff>624840</xdr:colOff>
          <xdr:row>25</xdr:row>
          <xdr:rowOff>68580</xdr:rowOff>
        </xdr:to>
        <xdr:sp macro="" textlink="">
          <xdr:nvSpPr>
            <xdr:cNvPr id="11267" name="Group Box 3" hidden="1">
              <a:extLst>
                <a:ext uri="{63B3BB69-23CF-44E3-9099-C40C66FF867C}">
                  <a14:compatExt spid="_x0000_s11267"/>
                </a:ext>
                <a:ext uri="{FF2B5EF4-FFF2-40B4-BE49-F238E27FC236}">
                  <a16:creationId xmlns:a16="http://schemas.microsoft.com/office/drawing/2014/main" id="{00000000-0008-0000-0400-000003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53340</xdr:colOff>
          <xdr:row>10</xdr:row>
          <xdr:rowOff>99060</xdr:rowOff>
        </xdr:from>
        <xdr:to>
          <xdr:col>2</xdr:col>
          <xdr:colOff>685800</xdr:colOff>
          <xdr:row>12</xdr:row>
          <xdr:rowOff>106680</xdr:rowOff>
        </xdr:to>
        <xdr:sp macro="" textlink="">
          <xdr:nvSpPr>
            <xdr:cNvPr id="11269" name="Button 5" hidden="1">
              <a:extLst>
                <a:ext uri="{63B3BB69-23CF-44E3-9099-C40C66FF867C}">
                  <a14:compatExt spid="_x0000_s11269"/>
                </a:ext>
                <a:ext uri="{FF2B5EF4-FFF2-40B4-BE49-F238E27FC236}">
                  <a16:creationId xmlns:a16="http://schemas.microsoft.com/office/drawing/2014/main" id="{00000000-0008-0000-0400-000005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200" b="0" i="0" u="none" strike="noStrike" baseline="0">
                  <a:solidFill>
                    <a:srgbClr val="000000"/>
                  </a:solidFill>
                  <a:latin typeface="宋体"/>
                  <a:ea typeface="宋体"/>
                </a:rPr>
                <a:t>返回计算页面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403860</xdr:colOff>
          <xdr:row>14</xdr:row>
          <xdr:rowOff>22860</xdr:rowOff>
        </xdr:from>
        <xdr:to>
          <xdr:col>6</xdr:col>
          <xdr:colOff>0</xdr:colOff>
          <xdr:row>25</xdr:row>
          <xdr:rowOff>53340</xdr:rowOff>
        </xdr:to>
        <xdr:sp macro="" textlink="">
          <xdr:nvSpPr>
            <xdr:cNvPr id="11271" name="Group Box 7" hidden="1">
              <a:extLst>
                <a:ext uri="{63B3BB69-23CF-44E3-9099-C40C66FF867C}">
                  <a14:compatExt spid="_x0000_s11271"/>
                </a:ext>
                <a:ext uri="{FF2B5EF4-FFF2-40B4-BE49-F238E27FC236}">
                  <a16:creationId xmlns:a16="http://schemas.microsoft.com/office/drawing/2014/main" id="{00000000-0008-0000-0400-000007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Exponential  erosion model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861060</xdr:colOff>
          <xdr:row>3</xdr:row>
          <xdr:rowOff>137160</xdr:rowOff>
        </xdr:from>
        <xdr:to>
          <xdr:col>18</xdr:col>
          <xdr:colOff>510540</xdr:colOff>
          <xdr:row>25</xdr:row>
          <xdr:rowOff>91440</xdr:rowOff>
        </xdr:to>
        <xdr:sp macro="" textlink="">
          <xdr:nvSpPr>
            <xdr:cNvPr id="11272" name="Group Box 8" hidden="1">
              <a:extLst>
                <a:ext uri="{63B3BB69-23CF-44E3-9099-C40C66FF867C}">
                  <a14:compatExt spid="_x0000_s11272"/>
                </a:ext>
                <a:ext uri="{FF2B5EF4-FFF2-40B4-BE49-F238E27FC236}">
                  <a16:creationId xmlns:a16="http://schemas.microsoft.com/office/drawing/2014/main" id="{00000000-0008-0000-0400-0000082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Hyperbolic model for soil erosion rate evaluation</a:t>
              </a:r>
            </a:p>
          </xdr:txBody>
        </xdr:sp>
        <xdr:clientData/>
      </xdr:twoCellAnchor>
    </mc:Choice>
    <mc:Fallback/>
  </mc:AlternateContent>
</xdr:wsDr>
</file>

<file path=xl/drawings/drawing9.xml><?xml version="1.0" encoding="utf-8"?>
<c:userShapes xmlns:c="http://schemas.openxmlformats.org/drawingml/2006/chart">
  <cdr:relSizeAnchor xmlns:cdr="http://schemas.openxmlformats.org/drawingml/2006/chartDrawing">
    <cdr:from>
      <cdr:x>0.38356</cdr:x>
      <cdr:y>0.89181</cdr:y>
    </cdr:from>
    <cdr:to>
      <cdr:x>0.53675</cdr:x>
      <cdr:y>0.97996</cdr:y>
    </cdr:to>
    <cdr:sp macro="" textlink="">
      <cdr:nvSpPr>
        <cdr:cNvPr id="4" name="TextBox 3"/>
        <cdr:cNvSpPr txBox="1"/>
      </cdr:nvSpPr>
      <cdr:spPr>
        <a:xfrm xmlns:a="http://schemas.openxmlformats.org/drawingml/2006/main">
          <a:off x="1721301" y="1843354"/>
          <a:ext cx="687456" cy="182217"/>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剪应力</a:t>
          </a:r>
        </a:p>
      </cdr:txBody>
    </cdr:sp>
  </cdr:relSizeAnchor>
  <cdr:relSizeAnchor xmlns:cdr="http://schemas.openxmlformats.org/drawingml/2006/chartDrawing">
    <cdr:from>
      <cdr:x>0.01443</cdr:x>
      <cdr:y>0.13847</cdr:y>
    </cdr:from>
    <cdr:to>
      <cdr:x>0.06611</cdr:x>
      <cdr:y>0.59528</cdr:y>
    </cdr:to>
    <cdr:sp macro="" textlink="">
      <cdr:nvSpPr>
        <cdr:cNvPr id="5" name="TextBox 4"/>
        <cdr:cNvSpPr txBox="1"/>
      </cdr:nvSpPr>
      <cdr:spPr>
        <a:xfrm xmlns:a="http://schemas.openxmlformats.org/drawingml/2006/main">
          <a:off x="64779" y="286222"/>
          <a:ext cx="231913" cy="944217"/>
        </a:xfrm>
        <a:prstGeom xmlns:a="http://schemas.openxmlformats.org/drawingml/2006/main" prst="rect">
          <a:avLst/>
        </a:prstGeom>
      </cdr:spPr>
      <cdr:txBody>
        <a:bodyPr xmlns:a="http://schemas.openxmlformats.org/drawingml/2006/main" vert="eaVert" wrap="square" rtlCol="0"/>
        <a:lstStyle xmlns:a="http://schemas.openxmlformats.org/drawingml/2006/main"/>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0.36695</cdr:x>
      <cdr:y>0.01425</cdr:y>
    </cdr:from>
    <cdr:to>
      <cdr:x>0.67886</cdr:x>
      <cdr:y>0.12645</cdr:y>
    </cdr:to>
    <cdr:sp macro="" textlink="">
      <cdr:nvSpPr>
        <cdr:cNvPr id="6" name="TextBox 5"/>
        <cdr:cNvSpPr txBox="1"/>
      </cdr:nvSpPr>
      <cdr:spPr>
        <a:xfrm xmlns:a="http://schemas.openxmlformats.org/drawingml/2006/main">
          <a:off x="1646757" y="29462"/>
          <a:ext cx="1399761" cy="231913"/>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zh-CN" altLang="en-US" sz="1100"/>
            <a:t>双曲线侵蚀模型</a:t>
          </a:r>
        </a:p>
      </cdr:txBody>
    </cdr:sp>
  </cdr:relSizeAnchor>
  <cdr:relSizeAnchor xmlns:cdr="http://schemas.openxmlformats.org/drawingml/2006/chartDrawing">
    <cdr:from>
      <cdr:x>0</cdr:x>
      <cdr:y>0</cdr:y>
    </cdr:from>
    <cdr:to>
      <cdr:x>0.15319</cdr:x>
      <cdr:y>0.08816</cdr:y>
    </cdr:to>
    <cdr:sp macro="" textlink="">
      <cdr:nvSpPr>
        <cdr:cNvPr id="7" name="TextBox 1"/>
        <cdr:cNvSpPr txBox="1"/>
      </cdr:nvSpPr>
      <cdr:spPr>
        <a:xfrm xmlns:a="http://schemas.openxmlformats.org/drawingml/2006/main">
          <a:off x="0" y="0"/>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xmlns:a="http://schemas.openxmlformats.org/drawingml/2006/main">
          <a:r>
            <a:rPr lang="zh-CN" altLang="en-US" sz="1100"/>
            <a:t>剪应力</a:t>
          </a:r>
        </a:p>
      </cdr:txBody>
    </cdr:sp>
  </cdr:relSizeAnchor>
</c:userShapes>
</file>

<file path=xl/drawings/drawing10.xml><?xml version="1.0" encoding="utf-8"?>
<c:userShapes xmlns:c="http://schemas.openxmlformats.org/drawingml/2006/chart">
  <cdr:relSizeAnchor xmlns:cdr="http://schemas.openxmlformats.org/drawingml/2006/chartDrawing">
    <cdr:from>
      <cdr:x>0.02717</cdr:x>
      <cdr:y>0.23565</cdr:y>
    </cdr:from>
    <cdr:to>
      <cdr:x>0.0779</cdr:x>
      <cdr:y>0.70151</cdr:y>
    </cdr:to>
    <cdr:sp macro="" textlink="">
      <cdr:nvSpPr>
        <cdr:cNvPr id="2" name="TextBox 1"/>
        <cdr:cNvSpPr txBox="1"/>
      </cdr:nvSpPr>
      <cdr:spPr>
        <a:xfrm xmlns:a="http://schemas.openxmlformats.org/drawingml/2006/main">
          <a:off x="124239" y="646043"/>
          <a:ext cx="231913" cy="1277171"/>
        </a:xfrm>
        <a:prstGeom xmlns:a="http://schemas.openxmlformats.org/drawingml/2006/main" prst="rect">
          <a:avLst/>
        </a:prstGeom>
      </cdr:spPr>
      <cdr:txBody>
        <a:bodyPr xmlns:a="http://schemas.openxmlformats.org/drawingml/2006/main" vert="eaVert"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zh-CN" altLang="en-US" sz="1100"/>
            <a:t>侵蚀率</a:t>
          </a:r>
          <a:r>
            <a:rPr lang="en-US" altLang="zh-CN" sz="1100" i="1"/>
            <a:t>dz/dt</a:t>
          </a:r>
          <a:endParaRPr lang="zh-CN" altLang="en-US" sz="1100" i="1"/>
        </a:p>
      </cdr:txBody>
    </cdr:sp>
  </cdr:relSizeAnchor>
  <cdr:relSizeAnchor xmlns:cdr="http://schemas.openxmlformats.org/drawingml/2006/chartDrawing">
    <cdr:from>
      <cdr:x>0.45833</cdr:x>
      <cdr:y>0.89728</cdr:y>
    </cdr:from>
    <cdr:to>
      <cdr:x>0.6087</cdr:x>
      <cdr:y>0.98718</cdr:y>
    </cdr:to>
    <cdr:sp macro="" textlink="">
      <cdr:nvSpPr>
        <cdr:cNvPr id="3" name="TextBox 1"/>
        <cdr:cNvSpPr txBox="1"/>
      </cdr:nvSpPr>
      <cdr:spPr>
        <a:xfrm xmlns:a="http://schemas.openxmlformats.org/drawingml/2006/main">
          <a:off x="2095500" y="2459934"/>
          <a:ext cx="687456" cy="246472"/>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zh-CN" altLang="en-US" sz="1100"/>
            <a:t>剪应力</a:t>
          </a:r>
        </a:p>
      </cdr:txBody>
    </cdr:sp>
  </cdr:relSizeAnchor>
</c:userShapes>
</file>

<file path=xl/drawings/drawing11.xml><?xml version="1.0" encoding="utf-8"?>
<xdr:wsDr xmlns:xdr="http://schemas.openxmlformats.org/drawingml/2006/spreadsheetDrawing" xmlns:a="http://schemas.openxmlformats.org/drawingml/2006/main">
  <xdr:twoCellAnchor editAs="oneCell">
    <xdr:from>
      <xdr:col>0</xdr:col>
      <xdr:colOff>47625</xdr:colOff>
      <xdr:row>0</xdr:row>
      <xdr:rowOff>28575</xdr:rowOff>
    </xdr:from>
    <xdr:to>
      <xdr:col>2</xdr:col>
      <xdr:colOff>0</xdr:colOff>
      <xdr:row>1</xdr:row>
      <xdr:rowOff>69248</xdr:rowOff>
    </xdr:to>
    <xdr:pic>
      <xdr:nvPicPr>
        <xdr:cNvPr id="2" name="Picture 2">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7625" y="28575"/>
          <a:ext cx="1485900" cy="1164623"/>
        </a:xfrm>
        <a:prstGeom prst="rect">
          <a:avLst/>
        </a:prstGeom>
      </xdr:spPr>
    </xdr:pic>
    <xdr:clientData/>
  </xdr:twoCellAnchor>
  <xdr:twoCellAnchor>
    <xdr:from>
      <xdr:col>0</xdr:col>
      <xdr:colOff>438150</xdr:colOff>
      <xdr:row>33</xdr:row>
      <xdr:rowOff>38100</xdr:rowOff>
    </xdr:from>
    <xdr:to>
      <xdr:col>6</xdr:col>
      <xdr:colOff>581025</xdr:colOff>
      <xdr:row>46</xdr:row>
      <xdr:rowOff>142875</xdr:rowOff>
    </xdr:to>
    <xdr:graphicFrame macro="">
      <xdr:nvGraphicFramePr>
        <xdr:cNvPr id="3" name="图表 5">
          <a:extLst>
            <a:ext uri="{FF2B5EF4-FFF2-40B4-BE49-F238E27FC236}">
              <a16:creationId xmlns:a16="http://schemas.microsoft.com/office/drawing/2014/main" id="{00000000-0008-0000-0500-000003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xdr:col>
      <xdr:colOff>490818</xdr:colOff>
      <xdr:row>28</xdr:row>
      <xdr:rowOff>62193</xdr:rowOff>
    </xdr:from>
    <xdr:to>
      <xdr:col>15</xdr:col>
      <xdr:colOff>200025</xdr:colOff>
      <xdr:row>47</xdr:row>
      <xdr:rowOff>33618</xdr:rowOff>
    </xdr:to>
    <xdr:graphicFrame macro="">
      <xdr:nvGraphicFramePr>
        <xdr:cNvPr id="4" name="图表 6">
          <a:extLst>
            <a:ext uri="{FF2B5EF4-FFF2-40B4-BE49-F238E27FC236}">
              <a16:creationId xmlns:a16="http://schemas.microsoft.com/office/drawing/2014/main" id="{00000000-0008-0000-0500-000004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mc:AlternateContent xmlns:mc="http://schemas.openxmlformats.org/markup-compatibility/2006">
    <mc:Choice xmlns:a14="http://schemas.microsoft.com/office/drawing/2010/main" Requires="a14">
      <xdr:twoCellAnchor editAs="oneCell">
        <xdr:from>
          <xdr:col>4</xdr:col>
          <xdr:colOff>457200</xdr:colOff>
          <xdr:row>16</xdr:row>
          <xdr:rowOff>137160</xdr:rowOff>
        </xdr:from>
        <xdr:to>
          <xdr:col>6</xdr:col>
          <xdr:colOff>137160</xdr:colOff>
          <xdr:row>17</xdr:row>
          <xdr:rowOff>175260</xdr:rowOff>
        </xdr:to>
        <xdr:sp macro="" textlink="">
          <xdr:nvSpPr>
            <xdr:cNvPr id="16385" name="Option Button 1" descr="使用默认值"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18</xdr:row>
          <xdr:rowOff>38100</xdr:rowOff>
        </xdr:from>
        <xdr:to>
          <xdr:col>5</xdr:col>
          <xdr:colOff>457200</xdr:colOff>
          <xdr:row>19</xdr:row>
          <xdr:rowOff>0</xdr:rowOff>
        </xdr:to>
        <xdr:sp macro="" textlink="">
          <xdr:nvSpPr>
            <xdr:cNvPr id="16386" name="Option Button 2"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21</xdr:row>
          <xdr:rowOff>137160</xdr:rowOff>
        </xdr:from>
        <xdr:to>
          <xdr:col>6</xdr:col>
          <xdr:colOff>137160</xdr:colOff>
          <xdr:row>22</xdr:row>
          <xdr:rowOff>114300</xdr:rowOff>
        </xdr:to>
        <xdr:sp macro="" textlink="">
          <xdr:nvSpPr>
            <xdr:cNvPr id="16387" name="Option Button 3" hidden="1">
              <a:extLst>
                <a:ext uri="{63B3BB69-23CF-44E3-9099-C40C66FF867C}">
                  <a14:compatExt spid="_x0000_s16387"/>
                </a:ext>
                <a:ext uri="{FF2B5EF4-FFF2-40B4-BE49-F238E27FC236}">
                  <a16:creationId xmlns:a16="http://schemas.microsoft.com/office/drawing/2014/main" id="{00000000-0008-0000-0500-000003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457200</xdr:colOff>
          <xdr:row>23</xdr:row>
          <xdr:rowOff>22860</xdr:rowOff>
        </xdr:from>
        <xdr:to>
          <xdr:col>6</xdr:col>
          <xdr:colOff>137160</xdr:colOff>
          <xdr:row>23</xdr:row>
          <xdr:rowOff>205740</xdr:rowOff>
        </xdr:to>
        <xdr:sp macro="" textlink="">
          <xdr:nvSpPr>
            <xdr:cNvPr id="16388" name="Option Button 4" hidden="1">
              <a:extLst>
                <a:ext uri="{63B3BB69-23CF-44E3-9099-C40C66FF867C}">
                  <a14:compatExt spid="_x0000_s16388"/>
                </a:ext>
                <a:ext uri="{FF2B5EF4-FFF2-40B4-BE49-F238E27FC236}">
                  <a16:creationId xmlns:a16="http://schemas.microsoft.com/office/drawing/2014/main" id="{00000000-0008-0000-0500-000004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27</xdr:row>
          <xdr:rowOff>53340</xdr:rowOff>
        </xdr:from>
        <xdr:to>
          <xdr:col>15</xdr:col>
          <xdr:colOff>480060</xdr:colOff>
          <xdr:row>48</xdr:row>
          <xdr:rowOff>60960</xdr:rowOff>
        </xdr:to>
        <xdr:sp macro="" textlink="">
          <xdr:nvSpPr>
            <xdr:cNvPr id="16389" name="Group Box 5" hidden="1">
              <a:extLst>
                <a:ext uri="{63B3BB69-23CF-44E3-9099-C40C66FF867C}">
                  <a14:compatExt spid="_x0000_s16389"/>
                </a:ext>
                <a:ext uri="{FF2B5EF4-FFF2-40B4-BE49-F238E27FC236}">
                  <a16:creationId xmlns:a16="http://schemas.microsoft.com/office/drawing/2014/main" id="{00000000-0008-0000-0500-000005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The results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289560</xdr:colOff>
          <xdr:row>5</xdr:row>
          <xdr:rowOff>137160</xdr:rowOff>
        </xdr:from>
        <xdr:to>
          <xdr:col>10</xdr:col>
          <xdr:colOff>266700</xdr:colOff>
          <xdr:row>6</xdr:row>
          <xdr:rowOff>213360</xdr:rowOff>
        </xdr:to>
        <xdr:sp macro="" textlink="">
          <xdr:nvSpPr>
            <xdr:cNvPr id="16390" name="Option Button 6" hidden="1">
              <a:extLst>
                <a:ext uri="{63B3BB69-23CF-44E3-9099-C40C66FF867C}">
                  <a14:compatExt spid="_x0000_s16390"/>
                </a:ext>
                <a:ext uri="{FF2B5EF4-FFF2-40B4-BE49-F238E27FC236}">
                  <a16:creationId xmlns:a16="http://schemas.microsoft.com/office/drawing/2014/main" id="{00000000-0008-0000-0500-000006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Default values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114300</xdr:colOff>
          <xdr:row>6</xdr:row>
          <xdr:rowOff>22860</xdr:rowOff>
        </xdr:from>
        <xdr:to>
          <xdr:col>13</xdr:col>
          <xdr:colOff>480060</xdr:colOff>
          <xdr:row>6</xdr:row>
          <xdr:rowOff>205740</xdr:rowOff>
        </xdr:to>
        <xdr:sp macro="" textlink="">
          <xdr:nvSpPr>
            <xdr:cNvPr id="16391" name="Option Button 7" hidden="1">
              <a:extLst>
                <a:ext uri="{63B3BB69-23CF-44E3-9099-C40C66FF867C}">
                  <a14:compatExt spid="_x0000_s16391"/>
                </a:ext>
                <a:ext uri="{FF2B5EF4-FFF2-40B4-BE49-F238E27FC236}">
                  <a16:creationId xmlns:a16="http://schemas.microsoft.com/office/drawing/2014/main" id="{00000000-0008-0000-0500-000007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381000</xdr:colOff>
          <xdr:row>5</xdr:row>
          <xdr:rowOff>22860</xdr:rowOff>
        </xdr:from>
        <xdr:to>
          <xdr:col>16</xdr:col>
          <xdr:colOff>632460</xdr:colOff>
          <xdr:row>27</xdr:row>
          <xdr:rowOff>22860</xdr:rowOff>
        </xdr:to>
        <xdr:sp macro="" textlink="">
          <xdr:nvSpPr>
            <xdr:cNvPr id="16392" name="Group Box 8" hidden="1">
              <a:extLst>
                <a:ext uri="{63B3BB69-23CF-44E3-9099-C40C66FF867C}">
                  <a14:compatExt spid="_x0000_s16392"/>
                </a:ext>
                <a:ext uri="{FF2B5EF4-FFF2-40B4-BE49-F238E27FC236}">
                  <a16:creationId xmlns:a16="http://schemas.microsoft.com/office/drawing/2014/main" id="{00000000-0008-0000-0500-000008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Breach extension curve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9</xdr:row>
          <xdr:rowOff>91440</xdr:rowOff>
        </xdr:from>
        <xdr:to>
          <xdr:col>6</xdr:col>
          <xdr:colOff>800100</xdr:colOff>
          <xdr:row>14</xdr:row>
          <xdr:rowOff>99060</xdr:rowOff>
        </xdr:to>
        <xdr:sp macro="" textlink="">
          <xdr:nvSpPr>
            <xdr:cNvPr id="16393" name="Group Box 9" hidden="1">
              <a:extLst>
                <a:ext uri="{63B3BB69-23CF-44E3-9099-C40C66FF867C}">
                  <a14:compatExt spid="_x0000_s16393"/>
                </a:ext>
                <a:ext uri="{FF2B5EF4-FFF2-40B4-BE49-F238E27FC236}">
                  <a16:creationId xmlns:a16="http://schemas.microsoft.com/office/drawing/2014/main" id="{00000000-0008-0000-0500-000009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Relation between Storage Capacity and Water Level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152400</xdr:colOff>
          <xdr:row>15</xdr:row>
          <xdr:rowOff>38100</xdr:rowOff>
        </xdr:from>
        <xdr:to>
          <xdr:col>6</xdr:col>
          <xdr:colOff>800100</xdr:colOff>
          <xdr:row>19</xdr:row>
          <xdr:rowOff>91440</xdr:rowOff>
        </xdr:to>
        <xdr:sp macro="" textlink="">
          <xdr:nvSpPr>
            <xdr:cNvPr id="16394" name="Group Box 10" hidden="1">
              <a:extLst>
                <a:ext uri="{63B3BB69-23CF-44E3-9099-C40C66FF867C}">
                  <a14:compatExt spid="_x0000_s16394"/>
                </a:ext>
                <a:ext uri="{FF2B5EF4-FFF2-40B4-BE49-F238E27FC236}">
                  <a16:creationId xmlns:a16="http://schemas.microsoft.com/office/drawing/2014/main" id="{00000000-0008-0000-0500-00000A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 Coefficient of Broad-crested weir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20</xdr:row>
          <xdr:rowOff>22860</xdr:rowOff>
        </xdr:from>
        <xdr:to>
          <xdr:col>6</xdr:col>
          <xdr:colOff>784860</xdr:colOff>
          <xdr:row>26</xdr:row>
          <xdr:rowOff>0</xdr:rowOff>
        </xdr:to>
        <xdr:sp macro="" textlink="">
          <xdr:nvSpPr>
            <xdr:cNvPr id="16395" name="Group Box 11" hidden="1">
              <a:extLst>
                <a:ext uri="{63B3BB69-23CF-44E3-9099-C40C66FF867C}">
                  <a14:compatExt spid="_x0000_s16395"/>
                </a:ext>
                <a:ext uri="{FF2B5EF4-FFF2-40B4-BE49-F238E27FC236}">
                  <a16:creationId xmlns:a16="http://schemas.microsoft.com/office/drawing/2014/main" id="{00000000-0008-0000-0500-00000B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Coefficient of erosion rate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137160</xdr:colOff>
          <xdr:row>4</xdr:row>
          <xdr:rowOff>99060</xdr:rowOff>
        </xdr:from>
        <xdr:to>
          <xdr:col>6</xdr:col>
          <xdr:colOff>800100</xdr:colOff>
          <xdr:row>8</xdr:row>
          <xdr:rowOff>137160</xdr:rowOff>
        </xdr:to>
        <xdr:sp macro="" textlink="">
          <xdr:nvSpPr>
            <xdr:cNvPr id="16396" name="Group Box 12" hidden="1">
              <a:extLst>
                <a:ext uri="{63B3BB69-23CF-44E3-9099-C40C66FF867C}">
                  <a14:compatExt spid="_x0000_s16396"/>
                </a:ext>
                <a:ext uri="{FF2B5EF4-FFF2-40B4-BE49-F238E27FC236}">
                  <a16:creationId xmlns:a16="http://schemas.microsoft.com/office/drawing/2014/main" id="{00000000-0008-0000-0500-00000C4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zh-CN" altLang="en-US" sz="900" b="0" i="0" u="none" strike="noStrike" baseline="0">
                  <a:solidFill>
                    <a:srgbClr val="000000"/>
                  </a:solidFill>
                  <a:latin typeface="宋体"/>
                  <a:ea typeface="宋体"/>
                </a:rPr>
                <a:t>Avalanche Lake Information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0</xdr:colOff>
          <xdr:row>135</xdr:row>
          <xdr:rowOff>0</xdr:rowOff>
        </xdr:from>
        <xdr:to>
          <xdr:col>36</xdr:col>
          <xdr:colOff>53340</xdr:colOff>
          <xdr:row>136</xdr:row>
          <xdr:rowOff>68580</xdr:rowOff>
        </xdr:to>
        <xdr:sp macro="" textlink="">
          <xdr:nvSpPr>
            <xdr:cNvPr id="16397" name="Object 13" hidden="1">
              <a:extLst>
                <a:ext uri="{63B3BB69-23CF-44E3-9099-C40C66FF867C}">
                  <a14:compatExt spid="_x0000_s16397"/>
                </a:ext>
                <a:ext uri="{FF2B5EF4-FFF2-40B4-BE49-F238E27FC236}">
                  <a16:creationId xmlns:a16="http://schemas.microsoft.com/office/drawing/2014/main" id="{00000000-0008-0000-0500-00000D400000}"/>
                </a:ext>
              </a:extLst>
            </xdr:cNvPr>
            <xdr:cNvSpPr/>
          </xdr:nvSpPr>
          <xdr:spPr bwMode="auto">
            <a:xfrm>
              <a:off x="0" y="0"/>
              <a:ext cx="0" cy="0"/>
            </a:xfrm>
            <a:prstGeom prst="rect">
              <a:avLst/>
            </a:prstGeom>
            <a:solidFill>
              <a:srgbClr val="FFFFFF" mc:Ignorable="a14" a14:legacySpreadsheetColorIndex="65"/>
            </a:solidFill>
            <a:ln w="9525">
              <a:solidFill>
                <a:srgbClr val="000000" mc:Ignorable="a14" a14:legacySpreadsheetColorIndex="64"/>
              </a:solidFill>
              <a:miter lim="800000"/>
              <a:headEnd/>
              <a:tailEnd/>
            </a:ln>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449580</xdr:colOff>
          <xdr:row>10</xdr:row>
          <xdr:rowOff>106680</xdr:rowOff>
        </xdr:from>
        <xdr:to>
          <xdr:col>5</xdr:col>
          <xdr:colOff>457200</xdr:colOff>
          <xdr:row>11</xdr:row>
          <xdr:rowOff>91440</xdr:rowOff>
        </xdr:to>
        <xdr:sp macro="" textlink="">
          <xdr:nvSpPr>
            <xdr:cNvPr id="16398" name="Option Button 14" hidden="1">
              <a:extLst>
                <a:ext uri="{63B3BB69-23CF-44E3-9099-C40C66FF867C}">
                  <a14:compatExt spid="_x0000_s16398"/>
                </a:ext>
                <a:ext uri="{FF2B5EF4-FFF2-40B4-BE49-F238E27FC236}">
                  <a16:creationId xmlns:a16="http://schemas.microsoft.com/office/drawing/2014/main" id="{00000000-0008-0000-0500-00000E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Automatically </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449580</xdr:colOff>
          <xdr:row>11</xdr:row>
          <xdr:rowOff>251460</xdr:rowOff>
        </xdr:from>
        <xdr:to>
          <xdr:col>5</xdr:col>
          <xdr:colOff>457200</xdr:colOff>
          <xdr:row>12</xdr:row>
          <xdr:rowOff>167640</xdr:rowOff>
        </xdr:to>
        <xdr:sp macro="" textlink="">
          <xdr:nvSpPr>
            <xdr:cNvPr id="16399" name="Option Button 15" hidden="1">
              <a:extLst>
                <a:ext uri="{63B3BB69-23CF-44E3-9099-C40C66FF867C}">
                  <a14:compatExt spid="_x0000_s16399"/>
                </a:ext>
                <a:ext uri="{FF2B5EF4-FFF2-40B4-BE49-F238E27FC236}">
                  <a16:creationId xmlns:a16="http://schemas.microsoft.com/office/drawing/2014/main" id="{00000000-0008-0000-0500-00000F4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zh-CN" altLang="en-US" sz="900" b="0" i="0" u="none" strike="noStrike" baseline="0">
                  <a:solidFill>
                    <a:srgbClr val="000000"/>
                  </a:solidFill>
                  <a:latin typeface="宋体"/>
                  <a:ea typeface="宋体"/>
                </a:rPr>
                <a:t>Manually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15</xdr:col>
          <xdr:colOff>746760</xdr:colOff>
          <xdr:row>40</xdr:row>
          <xdr:rowOff>137160</xdr:rowOff>
        </xdr:from>
        <xdr:to>
          <xdr:col>17</xdr:col>
          <xdr:colOff>53340</xdr:colOff>
          <xdr:row>43</xdr:row>
          <xdr:rowOff>60960</xdr:rowOff>
        </xdr:to>
        <xdr:sp macro="" textlink="">
          <xdr:nvSpPr>
            <xdr:cNvPr id="16400" name="Button 16" hidden="1">
              <a:extLst>
                <a:ext uri="{63B3BB69-23CF-44E3-9099-C40C66FF867C}">
                  <a14:compatExt spid="_x0000_s16400"/>
                </a:ext>
                <a:ext uri="{FF2B5EF4-FFF2-40B4-BE49-F238E27FC236}">
                  <a16:creationId xmlns:a16="http://schemas.microsoft.com/office/drawing/2014/main" id="{00000000-0008-0000-0500-000010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CN" altLang="en-US" sz="1100" b="0" i="0" u="none" strike="noStrike" baseline="0">
                  <a:solidFill>
                    <a:srgbClr val="000000"/>
                  </a:solidFill>
                  <a:latin typeface="Calibri"/>
                  <a:cs typeface="Calibri"/>
                </a:rPr>
                <a:t>Export Figs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739140</xdr:colOff>
          <xdr:row>37</xdr:row>
          <xdr:rowOff>22860</xdr:rowOff>
        </xdr:from>
        <xdr:to>
          <xdr:col>17</xdr:col>
          <xdr:colOff>22860</xdr:colOff>
          <xdr:row>39</xdr:row>
          <xdr:rowOff>137160</xdr:rowOff>
        </xdr:to>
        <xdr:sp macro="" textlink="">
          <xdr:nvSpPr>
            <xdr:cNvPr id="16401" name="Button 17" hidden="1">
              <a:extLst>
                <a:ext uri="{63B3BB69-23CF-44E3-9099-C40C66FF867C}">
                  <a14:compatExt spid="_x0000_s16401"/>
                </a:ext>
                <a:ext uri="{FF2B5EF4-FFF2-40B4-BE49-F238E27FC236}">
                  <a16:creationId xmlns:a16="http://schemas.microsoft.com/office/drawing/2014/main" id="{00000000-0008-0000-0500-00001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Calculation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15</xdr:col>
          <xdr:colOff>708660</xdr:colOff>
          <xdr:row>44</xdr:row>
          <xdr:rowOff>99060</xdr:rowOff>
        </xdr:from>
        <xdr:to>
          <xdr:col>17</xdr:col>
          <xdr:colOff>22860</xdr:colOff>
          <xdr:row>47</xdr:row>
          <xdr:rowOff>22860</xdr:rowOff>
        </xdr:to>
        <xdr:sp macro="" textlink="">
          <xdr:nvSpPr>
            <xdr:cNvPr id="16402" name="Button 18" hidden="1">
              <a:extLst>
                <a:ext uri="{63B3BB69-23CF-44E3-9099-C40C66FF867C}">
                  <a14:compatExt spid="_x0000_s16402"/>
                </a:ext>
                <a:ext uri="{FF2B5EF4-FFF2-40B4-BE49-F238E27FC236}">
                  <a16:creationId xmlns:a16="http://schemas.microsoft.com/office/drawing/2014/main" id="{00000000-0008-0000-0500-000012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zh-CN" altLang="en-US" sz="1100" b="0" i="0" u="none" strike="noStrike" baseline="0">
                  <a:solidFill>
                    <a:srgbClr val="000000"/>
                  </a:solidFill>
                  <a:latin typeface="宋体"/>
                  <a:ea typeface="宋体"/>
                </a:rPr>
                <a:t>Return</a:t>
              </a:r>
            </a:p>
          </xdr:txBody>
        </xdr:sp>
        <xdr:clientData fPrintsWithSheet="0"/>
      </xdr:twoCellAnchor>
    </mc:Choice>
    <mc:Fallback/>
  </mc:AlternateContent>
</xdr:wsDr>
</file>

<file path=xl/drawings/drawing12.xml><?xml version="1.0" encoding="utf-8"?>
<c:userShapes xmlns:c="http://schemas.openxmlformats.org/drawingml/2006/chart">
  <cdr:relSizeAnchor xmlns:cdr="http://schemas.openxmlformats.org/drawingml/2006/chartDrawing">
    <cdr:from>
      <cdr:x>0.00668</cdr:x>
      <cdr:y>0.17457</cdr:y>
    </cdr:from>
    <cdr:to>
      <cdr:x>0.07872</cdr:x>
      <cdr:y>0.43559</cdr:y>
    </cdr:to>
    <cdr:sp macro="" textlink="">
      <cdr:nvSpPr>
        <cdr:cNvPr id="2" name="TextBox 1"/>
        <cdr:cNvSpPr txBox="1"/>
      </cdr:nvSpPr>
      <cdr:spPr>
        <a:xfrm xmlns:a="http://schemas.openxmlformats.org/drawingml/2006/main">
          <a:off x="33142" y="419733"/>
          <a:ext cx="357304" cy="627592"/>
        </a:xfrm>
        <a:prstGeom xmlns:a="http://schemas.openxmlformats.org/drawingml/2006/main" prst="rect">
          <a:avLst/>
        </a:prstGeom>
      </cdr:spPr>
      <cdr:txBody>
        <a:bodyPr xmlns:a="http://schemas.openxmlformats.org/drawingml/2006/main" vert="eaVert" wrap="non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100" b="1"/>
            <a:t>elevation</a:t>
          </a:r>
          <a:r>
            <a:rPr lang="zh-CN" altLang="en-US" sz="1100" b="1"/>
            <a:t>（</a:t>
          </a:r>
          <a:r>
            <a:rPr lang="en-US" altLang="zh-CN" sz="1100" b="1"/>
            <a:t>m)</a:t>
          </a:r>
          <a:endParaRPr lang="zh-CN" altLang="en-US" sz="1100" b="1"/>
        </a:p>
      </cdr:txBody>
    </cdr:sp>
  </cdr:relSizeAnchor>
  <cdr:relSizeAnchor xmlns:cdr="http://schemas.openxmlformats.org/drawingml/2006/chartDrawing">
    <cdr:from>
      <cdr:x>0.42731</cdr:x>
      <cdr:y>0.88514</cdr:y>
    </cdr:from>
    <cdr:to>
      <cdr:x>0.72434</cdr:x>
      <cdr:y>0.97025</cdr:y>
    </cdr:to>
    <cdr:sp macro="" textlink="">
      <cdr:nvSpPr>
        <cdr:cNvPr id="3" name="TextBox 1"/>
        <cdr:cNvSpPr txBox="1"/>
      </cdr:nvSpPr>
      <cdr:spPr>
        <a:xfrm xmlns:a="http://schemas.openxmlformats.org/drawingml/2006/main">
          <a:off x="1847850" y="249555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lvl1pPr marL="0" indent="0">
            <a:defRPr sz="1100">
              <a:latin typeface="Calibri"/>
            </a:defRPr>
          </a:lvl1pPr>
          <a:lvl2pPr marL="457200" indent="0">
            <a:defRPr sz="1100">
              <a:latin typeface="Calibri"/>
            </a:defRPr>
          </a:lvl2pPr>
          <a:lvl3pPr marL="914400" indent="0">
            <a:defRPr sz="1100">
              <a:latin typeface="Calibri"/>
            </a:defRPr>
          </a:lvl3pPr>
          <a:lvl4pPr marL="1371600" indent="0">
            <a:defRPr sz="1100">
              <a:latin typeface="Calibri"/>
            </a:defRPr>
          </a:lvl4pPr>
          <a:lvl5pPr marL="1828800" indent="0">
            <a:defRPr sz="1100">
              <a:latin typeface="Calibri"/>
            </a:defRPr>
          </a:lvl5pPr>
          <a:lvl6pPr marL="2286000" indent="0">
            <a:defRPr sz="1100">
              <a:latin typeface="Calibri"/>
            </a:defRPr>
          </a:lvl6pPr>
          <a:lvl7pPr marL="2743200" indent="0">
            <a:defRPr sz="1100">
              <a:latin typeface="Calibri"/>
            </a:defRPr>
          </a:lvl7pPr>
          <a:lvl8pPr marL="3200400" indent="0">
            <a:defRPr sz="1100">
              <a:latin typeface="Calibri"/>
            </a:defRPr>
          </a:lvl8pPr>
          <a:lvl9pPr marL="3657600" indent="0">
            <a:defRPr sz="1100">
              <a:latin typeface="Calibri"/>
            </a:defRPr>
          </a:lvl9pPr>
        </a:lstStyle>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3.xml><?xml version="1.0" encoding="utf-8"?>
<c:userShapes xmlns:c="http://schemas.openxmlformats.org/drawingml/2006/chart">
  <cdr:relSizeAnchor xmlns:cdr="http://schemas.openxmlformats.org/drawingml/2006/chartDrawing">
    <cdr:from>
      <cdr:x>0.01961</cdr:x>
      <cdr:y>0.4385</cdr:y>
    </cdr:from>
    <cdr:to>
      <cdr:x>0.06033</cdr:x>
      <cdr:y>0.69519</cdr:y>
    </cdr:to>
    <cdr:sp macro="" textlink="">
      <cdr:nvSpPr>
        <cdr:cNvPr id="2" name="TextBox 1"/>
        <cdr:cNvSpPr txBox="1"/>
      </cdr:nvSpPr>
      <cdr:spPr>
        <a:xfrm xmlns:a="http://schemas.openxmlformats.org/drawingml/2006/main">
          <a:off x="123825" y="1562100"/>
          <a:ext cx="257175" cy="914400"/>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endParaRPr lang="zh-CN" altLang="en-US" sz="1100"/>
        </a:p>
      </cdr:txBody>
    </cdr:sp>
  </cdr:relSizeAnchor>
  <cdr:relSizeAnchor xmlns:cdr="http://schemas.openxmlformats.org/drawingml/2006/chartDrawing">
    <cdr:from>
      <cdr:x>0.01339</cdr:x>
      <cdr:y>0.27208</cdr:y>
    </cdr:from>
    <cdr:to>
      <cdr:x>0.07372</cdr:x>
      <cdr:y>0.52876</cdr:y>
    </cdr:to>
    <cdr:sp macro="" textlink="">
      <cdr:nvSpPr>
        <cdr:cNvPr id="3" name="TextBox 2"/>
        <cdr:cNvSpPr txBox="1"/>
      </cdr:nvSpPr>
      <cdr:spPr>
        <a:xfrm xmlns:a="http://schemas.openxmlformats.org/drawingml/2006/main">
          <a:off x="57150" y="780057"/>
          <a:ext cx="257448" cy="735921"/>
        </a:xfrm>
        <a:prstGeom xmlns:a="http://schemas.openxmlformats.org/drawingml/2006/main" prst="rect">
          <a:avLst/>
        </a:prstGeom>
      </cdr:spPr>
      <cdr:txBody>
        <a:bodyPr xmlns:a="http://schemas.openxmlformats.org/drawingml/2006/main" vert="eaVert" wrap="none" rtlCol="0"/>
        <a:lstStyle xmlns:a="http://schemas.openxmlformats.org/drawingml/2006/main"/>
        <a:p xmlns:a="http://schemas.openxmlformats.org/drawingml/2006/main">
          <a:r>
            <a:rPr lang="en-US" altLang="zh-CN" sz="1100" b="1"/>
            <a:t>Dam</a:t>
          </a:r>
          <a:r>
            <a:rPr lang="en-US" altLang="zh-CN" sz="1100" b="1" baseline="0"/>
            <a:t> flow</a:t>
          </a:r>
          <a:r>
            <a:rPr lang="zh-CN" altLang="en-US" sz="1100" b="1"/>
            <a:t>（</a:t>
          </a:r>
          <a:r>
            <a:rPr lang="en-US" altLang="zh-CN" sz="1100" b="1"/>
            <a:t>m3/s)</a:t>
          </a:r>
          <a:endParaRPr lang="zh-CN" altLang="en-US" sz="1100" b="1"/>
        </a:p>
      </cdr:txBody>
    </cdr:sp>
  </cdr:relSizeAnchor>
  <cdr:relSizeAnchor xmlns:cdr="http://schemas.openxmlformats.org/drawingml/2006/chartDrawing">
    <cdr:from>
      <cdr:x>0.46908</cdr:x>
      <cdr:y>0.89305</cdr:y>
    </cdr:from>
    <cdr:to>
      <cdr:x>0.77009</cdr:x>
      <cdr:y>0.97674</cdr:y>
    </cdr:to>
    <cdr:sp macro="" textlink="">
      <cdr:nvSpPr>
        <cdr:cNvPr id="4" name="TextBox 3"/>
        <cdr:cNvSpPr txBox="1"/>
      </cdr:nvSpPr>
      <cdr:spPr>
        <a:xfrm xmlns:a="http://schemas.openxmlformats.org/drawingml/2006/main">
          <a:off x="2001658" y="2560390"/>
          <a:ext cx="1284466" cy="239959"/>
        </a:xfrm>
        <a:prstGeom xmlns:a="http://schemas.openxmlformats.org/drawingml/2006/main" prst="rect">
          <a:avLst/>
        </a:prstGeom>
      </cdr:spPr>
      <cdr:txBody>
        <a:bodyPr xmlns:a="http://schemas.openxmlformats.org/drawingml/2006/main" wrap="square" rtlCol="0"/>
        <a:lstStyle xmlns:a="http://schemas.openxmlformats.org/drawingml/2006/main"/>
        <a:p xmlns:a="http://schemas.openxmlformats.org/drawingml/2006/main">
          <a:r>
            <a:rPr lang="en-US" altLang="zh-CN" sz="1100" b="1"/>
            <a:t>Time</a:t>
          </a:r>
          <a:r>
            <a:rPr lang="zh-CN" altLang="en-US" sz="1100" b="1"/>
            <a:t>（</a:t>
          </a:r>
          <a:r>
            <a:rPr lang="en-US" altLang="zh-CN" sz="1100" b="1"/>
            <a:t>h</a:t>
          </a:r>
          <a:r>
            <a:rPr lang="zh-CN" altLang="en-US" sz="1100" b="1"/>
            <a:t>）</a:t>
          </a:r>
        </a:p>
      </cdr:txBody>
    </cdr:sp>
  </cdr:relSizeAnchor>
</c:userShapes>
</file>

<file path=xl/drawings/drawing14.xml><?xml version="1.0" encoding="utf-8"?>
<xdr:wsDr xmlns:xdr="http://schemas.openxmlformats.org/drawingml/2006/spreadsheetDrawing" xmlns:a="http://schemas.openxmlformats.org/drawingml/2006/main">
  <xdr:twoCellAnchor>
    <xdr:from>
      <xdr:col>0</xdr:col>
      <xdr:colOff>0</xdr:colOff>
      <xdr:row>3</xdr:row>
      <xdr:rowOff>5140</xdr:rowOff>
    </xdr:from>
    <xdr:to>
      <xdr:col>18</xdr:col>
      <xdr:colOff>654325</xdr:colOff>
      <xdr:row>32</xdr:row>
      <xdr:rowOff>158138</xdr:rowOff>
    </xdr:to>
    <xdr:grpSp>
      <xdr:nvGrpSpPr>
        <xdr:cNvPr id="35" name="程序简介">
          <a:extLst>
            <a:ext uri="{FF2B5EF4-FFF2-40B4-BE49-F238E27FC236}">
              <a16:creationId xmlns:a16="http://schemas.microsoft.com/office/drawing/2014/main" id="{00000000-0008-0000-0600-000023000000}"/>
            </a:ext>
          </a:extLst>
        </xdr:cNvPr>
        <xdr:cNvGrpSpPr/>
      </xdr:nvGrpSpPr>
      <xdr:grpSpPr>
        <a:xfrm>
          <a:off x="0" y="1205290"/>
          <a:ext cx="10674625" cy="5677498"/>
          <a:chOff x="0" y="1120320"/>
          <a:chExt cx="11868151" cy="4947132"/>
        </a:xfrm>
      </xdr:grpSpPr>
      <xdr:grpSp>
        <xdr:nvGrpSpPr>
          <xdr:cNvPr id="40" name="组合1">
            <a:extLst>
              <a:ext uri="{FF2B5EF4-FFF2-40B4-BE49-F238E27FC236}">
                <a16:creationId xmlns:a16="http://schemas.microsoft.com/office/drawing/2014/main" id="{00000000-0008-0000-0600-000028000000}"/>
              </a:ext>
            </a:extLst>
          </xdr:cNvPr>
          <xdr:cNvGrpSpPr/>
        </xdr:nvGrpSpPr>
        <xdr:grpSpPr>
          <a:xfrm>
            <a:off x="0" y="1120320"/>
            <a:ext cx="11868151" cy="4947132"/>
            <a:chOff x="19050" y="777420"/>
            <a:chExt cx="11868151" cy="4947132"/>
          </a:xfrm>
        </xdr:grpSpPr>
        <xdr:sp macro="" textlink="" fLocksText="0">
          <xdr:nvSpPr>
            <xdr:cNvPr id="18" name="11">
              <a:extLst>
                <a:ext uri="{FF2B5EF4-FFF2-40B4-BE49-F238E27FC236}">
                  <a16:creationId xmlns:a16="http://schemas.microsoft.com/office/drawing/2014/main" id="{00000000-0008-0000-0600-000012000000}"/>
                </a:ext>
              </a:extLst>
            </xdr:cNvPr>
            <xdr:cNvSpPr/>
          </xdr:nvSpPr>
          <xdr:spPr>
            <a:xfrm>
              <a:off x="19050" y="777420"/>
              <a:ext cx="11868151" cy="4085474"/>
            </a:xfrm>
            <a:prstGeom prst="rect">
              <a:avLst/>
            </a:prstGeom>
            <a:solidFill>
              <a:schemeClr val="bg1">
                <a:lumMod val="85000"/>
              </a:schemeClr>
            </a:solidFill>
            <a:ln w="3175">
              <a:solidFill>
                <a:schemeClr val="bg1">
                  <a:lumMod val="7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rtlCol="0" anchor="t"/>
            <a:lstStyle/>
            <a:p>
              <a:pPr algn="ctr"/>
              <a:r>
                <a:rPr lang="en-US" altLang="zh-CN" sz="2400" b="1">
                  <a:solidFill>
                    <a:sysClr val="windowText" lastClr="000000"/>
                  </a:solidFill>
                  <a:latin typeface="楷体_GB2312" pitchFamily="49" charset="-122"/>
                  <a:ea typeface="楷体_GB2312" pitchFamily="49" charset="-122"/>
                </a:rPr>
                <a:t>User Manual</a:t>
              </a:r>
              <a:r>
                <a:rPr lang="zh-CN" altLang="en-US" sz="1800">
                  <a:solidFill>
                    <a:sysClr val="windowText" lastClr="000000"/>
                  </a:solidFill>
                  <a:latin typeface="+mn-ea"/>
                  <a:ea typeface="+mn-ea"/>
                </a:rPr>
                <a:t>     </a:t>
              </a:r>
              <a:endParaRPr lang="en-US" altLang="zh-CN" sz="1800">
                <a:solidFill>
                  <a:sysClr val="windowText" lastClr="000000"/>
                </a:solidFill>
                <a:latin typeface="+mn-ea"/>
                <a:ea typeface="+mn-ea"/>
              </a:endParaRPr>
            </a:p>
            <a:p>
              <a:pPr algn="l"/>
              <a:r>
                <a:rPr lang="zh-CN" altLang="en-US" sz="2400">
                  <a:solidFill>
                    <a:sysClr val="windowText" lastClr="000000"/>
                  </a:solidFill>
                  <a:latin typeface="楷体_GB2312" pitchFamily="49" charset="-122"/>
                  <a:ea typeface="楷体_GB2312" pitchFamily="49" charset="-122"/>
                </a:rPr>
                <a:t>        本程序是一款针对溃坝计算软件，提出了使用双曲线模型模拟冲刷过程，结合而土力学中经典的安全系数分析边坡稳定的方法模拟溃口的发展。依托于</a:t>
              </a:r>
              <a:r>
                <a:rPr lang="en-US" altLang="zh-CN" sz="2400">
                  <a:solidFill>
                    <a:sysClr val="windowText" lastClr="000000"/>
                  </a:solidFill>
                  <a:latin typeface="楷体_GB2312" pitchFamily="49" charset="-122"/>
                  <a:ea typeface="楷体_GB2312" pitchFamily="49" charset="-122"/>
                </a:rPr>
                <a:t>EXCEL</a:t>
              </a:r>
              <a:r>
                <a:rPr lang="zh-CN" altLang="en-US" sz="2400">
                  <a:solidFill>
                    <a:sysClr val="windowText" lastClr="000000"/>
                  </a:solidFill>
                  <a:latin typeface="楷体_GB2312" pitchFamily="49" charset="-122"/>
                  <a:ea typeface="楷体_GB2312" pitchFamily="49" charset="-122"/>
                </a:rPr>
                <a:t>的二次开发，并使用</a:t>
              </a:r>
              <a:r>
                <a:rPr lang="en-US" altLang="zh-CN" sz="2400">
                  <a:solidFill>
                    <a:sysClr val="windowText" lastClr="000000"/>
                  </a:solidFill>
                  <a:latin typeface="楷体_GB2312" pitchFamily="49" charset="-122"/>
                  <a:ea typeface="楷体_GB2312" pitchFamily="49" charset="-122"/>
                </a:rPr>
                <a:t>VBA</a:t>
              </a:r>
              <a:r>
                <a:rPr lang="zh-CN" altLang="en-US" sz="2400">
                  <a:solidFill>
                    <a:sysClr val="windowText" lastClr="000000"/>
                  </a:solidFill>
                  <a:latin typeface="楷体_GB2312" pitchFamily="49" charset="-122"/>
                  <a:ea typeface="楷体_GB2312" pitchFamily="49" charset="-122"/>
                </a:rPr>
                <a:t>实现了整个数值模拟过程。</a:t>
              </a:r>
            </a:p>
          </xdr:txBody>
        </xdr:sp>
        <xdr:pic macro="[0]!Sheet3.操作说明show">
          <xdr:nvPicPr>
            <xdr:cNvPr id="3" name="图片 2" descr="20100906000303751.png">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1" cstate="print"/>
            <a:stretch>
              <a:fillRect/>
            </a:stretch>
          </xdr:blipFill>
          <xdr:spPr>
            <a:xfrm>
              <a:off x="545423" y="5046699"/>
              <a:ext cx="1695450" cy="627281"/>
            </a:xfrm>
            <a:prstGeom prst="rect">
              <a:avLst/>
            </a:prstGeom>
            <a:ln w="3175">
              <a:solidFill>
                <a:schemeClr val="bg1">
                  <a:lumMod val="75000"/>
                </a:schemeClr>
              </a:solidFill>
            </a:ln>
          </xdr:spPr>
        </xdr:pic>
        <xdr:pic macro="[0]!Sheet3.注意事项show">
          <xdr:nvPicPr>
            <xdr:cNvPr id="4" name="图片 3" descr="20100906000305831.png">
              <a:extLst>
                <a:ext uri="{FF2B5EF4-FFF2-40B4-BE49-F238E27FC236}">
                  <a16:creationId xmlns:a16="http://schemas.microsoft.com/office/drawing/2014/main" id="{00000000-0008-0000-0600-000004000000}"/>
                </a:ext>
              </a:extLst>
            </xdr:cNvPr>
            <xdr:cNvPicPr>
              <a:picLocks noChangeAspect="1"/>
            </xdr:cNvPicPr>
          </xdr:nvPicPr>
          <xdr:blipFill>
            <a:blip xmlns:r="http://schemas.openxmlformats.org/officeDocument/2006/relationships" r:embed="rId2" cstate="print"/>
            <a:stretch>
              <a:fillRect/>
            </a:stretch>
          </xdr:blipFill>
          <xdr:spPr>
            <a:xfrm>
              <a:off x="9581685" y="5008598"/>
              <a:ext cx="1816735" cy="695325"/>
            </a:xfrm>
            <a:prstGeom prst="rect">
              <a:avLst/>
            </a:prstGeom>
            <a:ln w="3175">
              <a:solidFill>
                <a:schemeClr val="bg1">
                  <a:lumMod val="75000"/>
                </a:schemeClr>
              </a:solidFill>
            </a:ln>
          </xdr:spPr>
        </xdr:pic>
        <xdr:pic macro="[0]!Sheet3.颜色及图标说明show">
          <xdr:nvPicPr>
            <xdr:cNvPr id="5" name="图片 4" descr="20100906000304243.png">
              <a:extLst>
                <a:ext uri="{FF2B5EF4-FFF2-40B4-BE49-F238E27FC236}">
                  <a16:creationId xmlns:a16="http://schemas.microsoft.com/office/drawing/2014/main" id="{00000000-0008-0000-0600-000005000000}"/>
                </a:ext>
              </a:extLst>
            </xdr:cNvPr>
            <xdr:cNvPicPr>
              <a:picLocks noChangeAspect="1"/>
            </xdr:cNvPicPr>
          </xdr:nvPicPr>
          <xdr:blipFill>
            <a:blip xmlns:r="http://schemas.openxmlformats.org/officeDocument/2006/relationships" r:embed="rId3" cstate="print"/>
            <a:stretch>
              <a:fillRect/>
            </a:stretch>
          </xdr:blipFill>
          <xdr:spPr>
            <a:xfrm>
              <a:off x="2696823" y="5037174"/>
              <a:ext cx="1885951" cy="657226"/>
            </a:xfrm>
            <a:prstGeom prst="rect">
              <a:avLst/>
            </a:prstGeom>
            <a:ln w="3175">
              <a:solidFill>
                <a:schemeClr val="bg1">
                  <a:lumMod val="75000"/>
                </a:schemeClr>
              </a:solidFill>
            </a:ln>
          </xdr:spPr>
        </xdr:pic>
        <xdr:pic macro="[0]!Sheet3.参考规范show">
          <xdr:nvPicPr>
            <xdr:cNvPr id="6" name="图片 5" descr="20100906000304815.png">
              <a:extLst>
                <a:ext uri="{FF2B5EF4-FFF2-40B4-BE49-F238E27FC236}">
                  <a16:creationId xmlns:a16="http://schemas.microsoft.com/office/drawing/2014/main" id="{00000000-0008-0000-0600-000006000000}"/>
                </a:ext>
              </a:extLst>
            </xdr:cNvPr>
            <xdr:cNvPicPr>
              <a:picLocks noChangeAspect="1"/>
            </xdr:cNvPicPr>
          </xdr:nvPicPr>
          <xdr:blipFill>
            <a:blip xmlns:r="http://schemas.openxmlformats.org/officeDocument/2006/relationships" r:embed="rId4" cstate="print"/>
            <a:stretch>
              <a:fillRect/>
            </a:stretch>
          </xdr:blipFill>
          <xdr:spPr>
            <a:xfrm>
              <a:off x="5001876" y="5019312"/>
              <a:ext cx="1828799" cy="705240"/>
            </a:xfrm>
            <a:prstGeom prst="rect">
              <a:avLst/>
            </a:prstGeom>
            <a:ln w="3175">
              <a:solidFill>
                <a:schemeClr val="bg1">
                  <a:lumMod val="75000"/>
                </a:schemeClr>
              </a:solidFill>
            </a:ln>
          </xdr:spPr>
        </xdr:pic>
        <xdr:sp macro="" textlink="" fLocksText="0">
          <xdr:nvSpPr>
            <xdr:cNvPr id="11" name="矩形 10">
              <a:extLst>
                <a:ext uri="{FF2B5EF4-FFF2-40B4-BE49-F238E27FC236}">
                  <a16:creationId xmlns:a16="http://schemas.microsoft.com/office/drawing/2014/main" id="{00000000-0008-0000-0600-00000B000000}"/>
                </a:ext>
              </a:extLst>
            </xdr:cNvPr>
            <xdr:cNvSpPr/>
          </xdr:nvSpPr>
          <xdr:spPr>
            <a:xfrm>
              <a:off x="648949" y="5144406"/>
              <a:ext cx="1485900" cy="415110"/>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marL="0" indent="0" algn="ctr"/>
              <a:r>
                <a:rPr lang="en-US" altLang="en-US" sz="2000">
                  <a:solidFill>
                    <a:sysClr val="windowText" lastClr="000000"/>
                  </a:solidFill>
                  <a:latin typeface="+mn-lt"/>
                  <a:ea typeface="+mn-ea"/>
                  <a:cs typeface="+mn-cs"/>
                </a:rPr>
                <a:t>Operating Instructions</a:t>
              </a:r>
              <a:endParaRPr lang="zh-CN" altLang="en-US" sz="2000">
                <a:solidFill>
                  <a:sysClr val="windowText" lastClr="000000"/>
                </a:solidFill>
                <a:latin typeface="+mn-lt"/>
                <a:ea typeface="+mn-ea"/>
                <a:cs typeface="+mn-cs"/>
              </a:endParaRPr>
            </a:p>
          </xdr:txBody>
        </xdr:sp>
        <xdr:sp macro="" textlink="" fLocksText="0">
          <xdr:nvSpPr>
            <xdr:cNvPr id="13" name="矩形 12">
              <a:extLst>
                <a:ext uri="{FF2B5EF4-FFF2-40B4-BE49-F238E27FC236}">
                  <a16:creationId xmlns:a16="http://schemas.microsoft.com/office/drawing/2014/main" id="{00000000-0008-0000-0600-00000D000000}"/>
                </a:ext>
              </a:extLst>
            </xdr:cNvPr>
            <xdr:cNvSpPr/>
          </xdr:nvSpPr>
          <xdr:spPr>
            <a:xfrm>
              <a:off x="9859625" y="5156329"/>
              <a:ext cx="1362075" cy="354362"/>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sz="2000">
                  <a:solidFill>
                    <a:sysClr val="windowText" lastClr="000000"/>
                  </a:solidFill>
                </a:rPr>
                <a:t>Cautions</a:t>
              </a:r>
              <a:endParaRPr lang="zh-CN" altLang="en-US" sz="2000">
                <a:solidFill>
                  <a:sysClr val="windowText" lastClr="000000"/>
                </a:solidFill>
              </a:endParaRPr>
            </a:p>
          </xdr:txBody>
        </xdr:sp>
        <xdr:sp macro="" textlink="" fLocksText="0">
          <xdr:nvSpPr>
            <xdr:cNvPr id="14" name="矩形 13">
              <a:extLst>
                <a:ext uri="{FF2B5EF4-FFF2-40B4-BE49-F238E27FC236}">
                  <a16:creationId xmlns:a16="http://schemas.microsoft.com/office/drawing/2014/main" id="{00000000-0008-0000-0600-00000E000000}"/>
                </a:ext>
              </a:extLst>
            </xdr:cNvPr>
            <xdr:cNvSpPr/>
          </xdr:nvSpPr>
          <xdr:spPr>
            <a:xfrm>
              <a:off x="2703721" y="5184304"/>
              <a:ext cx="1904891" cy="364487"/>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Color and Icon Description</a:t>
              </a:r>
              <a:endParaRPr lang="zh-CN" altLang="en-US" sz="2000">
                <a:solidFill>
                  <a:sysClr val="windowText" lastClr="000000"/>
                </a:solidFill>
              </a:endParaRPr>
            </a:p>
          </xdr:txBody>
        </xdr:sp>
        <xdr:sp macro="" textlink="" fLocksText="0">
          <xdr:nvSpPr>
            <xdr:cNvPr id="15" name="矩形 14">
              <a:extLst>
                <a:ext uri="{FF2B5EF4-FFF2-40B4-BE49-F238E27FC236}">
                  <a16:creationId xmlns:a16="http://schemas.microsoft.com/office/drawing/2014/main" id="{00000000-0008-0000-0600-00000F000000}"/>
                </a:ext>
              </a:extLst>
            </xdr:cNvPr>
            <xdr:cNvSpPr/>
          </xdr:nvSpPr>
          <xdr:spPr>
            <a:xfrm>
              <a:off x="4875964" y="5165854"/>
              <a:ext cx="2027427" cy="404986"/>
            </a:xfrm>
            <a:prstGeom prst="rect">
              <a:avLst/>
            </a:prstGeom>
            <a:noFill/>
            <a:ln w="3175">
              <a:noFill/>
            </a:ln>
          </xdr:spPr>
          <xdr:style>
            <a:lnRef idx="2">
              <a:schemeClr val="accent1">
                <a:shade val="50000"/>
              </a:schemeClr>
            </a:lnRef>
            <a:fillRef idx="1">
              <a:schemeClr val="accent1"/>
            </a:fillRef>
            <a:effectRef idx="0">
              <a:schemeClr val="accent1"/>
            </a:effectRef>
            <a:fontRef idx="minor">
              <a:schemeClr val="lt1"/>
            </a:fontRef>
          </xdr:style>
          <xdr:txBody>
            <a:bodyPr rtlCol="0" anchor="ctr"/>
            <a:lstStyle/>
            <a:p>
              <a:pPr algn="ctr"/>
              <a:r>
                <a:rPr lang="en-US" altLang="zh-CN" sz="2000">
                  <a:solidFill>
                    <a:sysClr val="windowText" lastClr="000000"/>
                  </a:solidFill>
                </a:rPr>
                <a:t>Reference norms and Copyright</a:t>
              </a:r>
              <a:endParaRPr lang="zh-CN" altLang="en-US" sz="2000">
                <a:solidFill>
                  <a:sysClr val="windowText" lastClr="000000"/>
                </a:solidFill>
              </a:endParaRPr>
            </a:p>
          </xdr:txBody>
        </xdr:sp>
      </xdr:grpSp>
      <xdr:pic macro="[0]!Sheet3.其他show">
        <xdr:nvPicPr>
          <xdr:cNvPr id="31" name="图片 30" descr="20100906000304279.png">
            <a:extLst>
              <a:ext uri="{FF2B5EF4-FFF2-40B4-BE49-F238E27FC236}">
                <a16:creationId xmlns:a16="http://schemas.microsoft.com/office/drawing/2014/main" id="{00000000-0008-0000-0600-00001F000000}"/>
              </a:ext>
            </a:extLst>
          </xdr:cNvPr>
          <xdr:cNvPicPr>
            <a:picLocks noChangeAspect="1"/>
          </xdr:cNvPicPr>
        </xdr:nvPicPr>
        <xdr:blipFill>
          <a:blip xmlns:r="http://schemas.openxmlformats.org/officeDocument/2006/relationships" r:embed="rId5" cstate="print"/>
          <a:stretch>
            <a:fillRect/>
          </a:stretch>
        </xdr:blipFill>
        <xdr:spPr>
          <a:xfrm>
            <a:off x="7306925" y="5380073"/>
            <a:ext cx="1771650" cy="676275"/>
          </a:xfrm>
          <a:prstGeom prst="rect">
            <a:avLst/>
          </a:prstGeom>
          <a:ln w="3175">
            <a:solidFill>
              <a:schemeClr val="bg1">
                <a:lumMod val="75000"/>
              </a:schemeClr>
            </a:solidFill>
          </a:ln>
        </xdr:spPr>
      </xdr:pic>
      <xdr:sp macro="" textlink="" fLocksText="0">
        <xdr:nvSpPr>
          <xdr:cNvPr id="32" name="TextBox 31">
            <a:extLst>
              <a:ext uri="{FF2B5EF4-FFF2-40B4-BE49-F238E27FC236}">
                <a16:creationId xmlns:a16="http://schemas.microsoft.com/office/drawing/2014/main" id="{00000000-0008-0000-0600-000020000000}"/>
              </a:ext>
            </a:extLst>
          </xdr:cNvPr>
          <xdr:cNvSpPr txBox="1"/>
        </xdr:nvSpPr>
        <xdr:spPr>
          <a:xfrm>
            <a:off x="7753240" y="5580099"/>
            <a:ext cx="1335350" cy="276225"/>
          </a:xfrm>
          <a:prstGeom prst="rect">
            <a:avLst/>
          </a:prstGeom>
          <a:noFill/>
          <a:ln w="3175" cmpd="sng">
            <a:noFill/>
          </a:ln>
        </xdr:spPr>
        <xdr:style>
          <a:lnRef idx="0">
            <a:scrgbClr r="0" g="0" b="0"/>
          </a:lnRef>
          <a:fillRef idx="0">
            <a:scrgbClr r="0" g="0" b="0"/>
          </a:fillRef>
          <a:effectRef idx="0">
            <a:scrgbClr r="0" g="0" b="0"/>
          </a:effectRef>
          <a:fontRef idx="minor">
            <a:schemeClr val="dk1"/>
          </a:fontRef>
        </xdr:style>
        <xdr:txBody>
          <a:bodyPr wrap="square" rtlCol="0" anchor="ctr"/>
          <a:lstStyle/>
          <a:p>
            <a:r>
              <a:rPr lang="en-US" altLang="zh-CN" sz="2000"/>
              <a:t>Others</a:t>
            </a:r>
            <a:endParaRPr lang="zh-CN" altLang="en-US" sz="2000"/>
          </a:p>
        </xdr:txBody>
      </xdr:sp>
    </xdr:grpSp>
    <xdr:clientData fLocksWithSheet="0"/>
  </xdr:twoCellAnchor>
  <xdr:twoCellAnchor>
    <xdr:from>
      <xdr:col>0</xdr:col>
      <xdr:colOff>1</xdr:colOff>
      <xdr:row>35</xdr:row>
      <xdr:rowOff>26087</xdr:rowOff>
    </xdr:from>
    <xdr:to>
      <xdr:col>18</xdr:col>
      <xdr:colOff>604630</xdr:colOff>
      <xdr:row>64</xdr:row>
      <xdr:rowOff>78440</xdr:rowOff>
    </xdr:to>
    <xdr:grpSp>
      <xdr:nvGrpSpPr>
        <xdr:cNvPr id="54" name="操作说明">
          <a:extLst>
            <a:ext uri="{FF2B5EF4-FFF2-40B4-BE49-F238E27FC236}">
              <a16:creationId xmlns:a16="http://schemas.microsoft.com/office/drawing/2014/main" id="{00000000-0008-0000-0600-000036000000}"/>
            </a:ext>
          </a:extLst>
        </xdr:cNvPr>
        <xdr:cNvGrpSpPr/>
      </xdr:nvGrpSpPr>
      <xdr:grpSpPr>
        <a:xfrm>
          <a:off x="1" y="7322237"/>
          <a:ext cx="10663029" cy="5576853"/>
          <a:chOff x="-18206" y="7083013"/>
          <a:chExt cx="11899964" cy="5023138"/>
        </a:xfrm>
      </xdr:grpSpPr>
      <xdr:sp macro="" textlink="" fLocksText="0">
        <xdr:nvSpPr>
          <xdr:cNvPr id="37" name="TextBox 36">
            <a:extLst>
              <a:ext uri="{FF2B5EF4-FFF2-40B4-BE49-F238E27FC236}">
                <a16:creationId xmlns:a16="http://schemas.microsoft.com/office/drawing/2014/main" id="{00000000-0008-0000-0600-000025000000}"/>
              </a:ext>
            </a:extLst>
          </xdr:cNvPr>
          <xdr:cNvSpPr txBox="1"/>
        </xdr:nvSpPr>
        <xdr:spPr>
          <a:xfrm>
            <a:off x="-18206" y="7083013"/>
            <a:ext cx="11899964" cy="5023138"/>
          </a:xfrm>
          <a:prstGeom prst="rect">
            <a:avLst/>
          </a:prstGeom>
          <a:noFill/>
          <a:ln w="317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marL="0" marR="0" indent="0" algn="ctr" defTabSz="914400" eaLnBrk="1" fontAlgn="auto" latinLnBrk="0" hangingPunct="1">
              <a:lnSpc>
                <a:spcPct val="100000"/>
              </a:lnSpc>
              <a:spcBef>
                <a:spcPts val="0"/>
              </a:spcBef>
              <a:spcAft>
                <a:spcPts val="0"/>
              </a:spcAft>
              <a:buClrTx/>
              <a:buSzTx/>
              <a:buFontTx/>
              <a:buNone/>
              <a:tabLst/>
              <a:defRPr/>
            </a:pPr>
            <a:r>
              <a:rPr lang="en-US" altLang="en-US" sz="2400" b="1">
                <a:solidFill>
                  <a:sysClr val="windowText" lastClr="000000"/>
                </a:solidFill>
                <a:latin typeface="+mn-lt"/>
                <a:ea typeface="+mn-ea"/>
                <a:cs typeface="+mn-cs"/>
              </a:rPr>
              <a:t>Operating Instructions</a:t>
            </a:r>
            <a:endParaRPr lang="zh-CN" altLang="en-US" sz="2400" b="1">
              <a:solidFill>
                <a:sysClr val="windowText" lastClr="000000"/>
              </a:solidFill>
              <a:latin typeface="+mn-lt"/>
              <a:ea typeface="+mn-ea"/>
              <a:cs typeface="+mn-cs"/>
            </a:endParaRPr>
          </a:p>
          <a:p>
            <a:pPr algn="ctr"/>
            <a:endParaRPr lang="en-US" altLang="zh-CN" sz="1800" b="1">
              <a:solidFill>
                <a:sysClr val="windowText" lastClr="000000"/>
              </a:solidFill>
            </a:endParaRPr>
          </a:p>
          <a:p>
            <a:pPr algn="ctr"/>
            <a:endParaRPr lang="en-US" altLang="zh-CN" sz="1800"/>
          </a:p>
          <a:p>
            <a:endParaRPr lang="en-US" sz="1100" b="0">
              <a:solidFill>
                <a:schemeClr val="dk1"/>
              </a:solidFill>
              <a:latin typeface="+mn-lt"/>
              <a:ea typeface="+mn-ea"/>
              <a:cs typeface="+mn-cs"/>
            </a:endParaRPr>
          </a:p>
          <a:p>
            <a:endParaRPr lang="en-US" sz="1100" b="0">
              <a:solidFill>
                <a:schemeClr val="dk1"/>
              </a:solidFill>
              <a:latin typeface="+mn-lt"/>
              <a:ea typeface="+mn-ea"/>
              <a:cs typeface="+mn-cs"/>
            </a:endParaRPr>
          </a:p>
          <a:p>
            <a:r>
              <a:rPr lang="en-US" sz="1600" b="0">
                <a:solidFill>
                  <a:schemeClr val="dk1"/>
                </a:solidFill>
                <a:latin typeface="+mn-lt"/>
                <a:ea typeface="+mn-ea"/>
                <a:cs typeface="+mn-cs"/>
              </a:rPr>
              <a:t>1</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Initialization</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initialize the software</a:t>
            </a:r>
            <a:endParaRPr lang="en-US" sz="1600" b="0">
              <a:solidFill>
                <a:schemeClr val="dk1"/>
              </a:solidFill>
              <a:latin typeface="+mn-lt"/>
              <a:ea typeface="+mn-ea"/>
              <a:cs typeface="+mn-cs"/>
            </a:endParaRPr>
          </a:p>
          <a:p>
            <a:r>
              <a:rPr lang="en-US" altLang="zh-CN" sz="1800" b="0" baseline="0">
                <a:solidFill>
                  <a:schemeClr val="dk1"/>
                </a:solidFill>
                <a:latin typeface="+mn-lt"/>
                <a:ea typeface="+mn-ea"/>
                <a:cs typeface="+mn-cs"/>
              </a:rPr>
              <a:t>      </a:t>
            </a:r>
            <a:r>
              <a:rPr lang="en-US" altLang="zh-CN" sz="1800" b="0">
                <a:solidFill>
                  <a:schemeClr val="dk1"/>
                </a:solidFill>
                <a:latin typeface="+mn-lt"/>
                <a:ea typeface="+mn-ea"/>
                <a:cs typeface="+mn-cs"/>
              </a:rPr>
              <a:t>Click this button, the program will restore the initial state.</a:t>
            </a:r>
          </a:p>
          <a:p>
            <a:r>
              <a:rPr lang="en-US" sz="1600" b="0">
                <a:solidFill>
                  <a:schemeClr val="dk1"/>
                </a:solidFill>
                <a:latin typeface="+mn-lt"/>
                <a:ea typeface="+mn-ea"/>
                <a:cs typeface="+mn-cs"/>
              </a:rPr>
              <a:t>2</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Import data in xml format</a:t>
            </a:r>
            <a:endParaRPr lang="en-US" sz="1600" b="0">
              <a:solidFill>
                <a:schemeClr val="dk1"/>
              </a:solidFill>
              <a:latin typeface="+mn-lt"/>
              <a:ea typeface="+mn-ea"/>
              <a:cs typeface="+mn-cs"/>
            </a:endParaRPr>
          </a:p>
          <a:p>
            <a:r>
              <a:rPr lang="en-US" altLang="zh-CN" sz="1600" b="0" baseline="0">
                <a:solidFill>
                  <a:schemeClr val="dk1"/>
                </a:solidFill>
                <a:latin typeface="+mn-lt"/>
                <a:ea typeface="+mn-ea"/>
                <a:cs typeface="+mn-cs"/>
              </a:rPr>
              <a:t>       The program supports the exchange of data with Xml, Xml schema if finished, click this button to import the data into xml format in Excel.</a:t>
            </a:r>
          </a:p>
          <a:p>
            <a:r>
              <a:rPr lang="en-US" sz="1600" b="0">
                <a:solidFill>
                  <a:schemeClr val="dk1"/>
                </a:solidFill>
                <a:latin typeface="+mn-lt"/>
                <a:ea typeface="+mn-ea"/>
                <a:cs typeface="+mn-cs"/>
              </a:rPr>
              <a:t>3</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Export data in xml format</a:t>
            </a:r>
          </a:p>
          <a:p>
            <a:r>
              <a:rPr lang="en-US" sz="1600" b="0">
                <a:solidFill>
                  <a:schemeClr val="dk1"/>
                </a:solidFill>
                <a:latin typeface="+mn-lt"/>
                <a:ea typeface="+mn-ea"/>
                <a:cs typeface="+mn-cs"/>
              </a:rPr>
              <a:t>      After</a:t>
            </a:r>
            <a:r>
              <a:rPr lang="en-US" sz="1600" b="0" baseline="0">
                <a:solidFill>
                  <a:schemeClr val="dk1"/>
                </a:solidFill>
                <a:latin typeface="+mn-lt"/>
                <a:ea typeface="+mn-ea"/>
                <a:cs typeface="+mn-cs"/>
              </a:rPr>
              <a:t> calculating,click this button, you can export data in xml format.</a:t>
            </a:r>
            <a:endParaRPr lang="en-US" sz="1600" b="0">
              <a:solidFill>
                <a:schemeClr val="dk1"/>
              </a:solidFill>
              <a:latin typeface="+mn-lt"/>
              <a:ea typeface="+mn-ea"/>
              <a:cs typeface="+mn-cs"/>
            </a:endParaRPr>
          </a:p>
          <a:p>
            <a:r>
              <a:rPr lang="en-US" sz="1600" b="0">
                <a:solidFill>
                  <a:schemeClr val="dk1"/>
                </a:solidFill>
                <a:latin typeface="+mn-lt"/>
                <a:ea typeface="+mn-ea"/>
                <a:cs typeface="+mn-cs"/>
              </a:rPr>
              <a:t>4</a:t>
            </a:r>
            <a:r>
              <a:rPr lang="zh-CN" altLang="en-US" sz="1600" b="0">
                <a:solidFill>
                  <a:schemeClr val="dk1"/>
                </a:solidFill>
                <a:latin typeface="+mn-lt"/>
                <a:ea typeface="+mn-ea"/>
                <a:cs typeface="+mn-cs"/>
              </a:rPr>
              <a:t>、</a:t>
            </a:r>
            <a:r>
              <a:rPr lang="en-US" sz="1600" b="0" i="0">
                <a:solidFill>
                  <a:schemeClr val="dk1"/>
                </a:solidFill>
                <a:latin typeface="+mn-lt"/>
                <a:ea typeface="+mn-ea"/>
                <a:cs typeface="+mn-cs"/>
              </a:rPr>
              <a:t>Calculations</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Generate word calculations.</a:t>
            </a:r>
            <a:endParaRPr lang="en-US" sz="1600" b="0">
              <a:solidFill>
                <a:schemeClr val="dk1"/>
              </a:solidFill>
              <a:latin typeface="+mn-lt"/>
              <a:ea typeface="+mn-ea"/>
              <a:cs typeface="+mn-cs"/>
            </a:endParaRPr>
          </a:p>
          <a:p>
            <a:r>
              <a:rPr lang="en-US" sz="1600" b="0" baseline="0">
                <a:solidFill>
                  <a:schemeClr val="dk1"/>
                </a:solidFill>
                <a:latin typeface="+mn-lt"/>
                <a:ea typeface="+mn-ea"/>
                <a:cs typeface="+mn-cs"/>
              </a:rPr>
              <a:t>         After calculating,click this button,</a:t>
            </a:r>
            <a:r>
              <a:rPr lang="en-US" altLang="zh-CN" sz="1600" b="0" baseline="0">
                <a:solidFill>
                  <a:schemeClr val="dk1"/>
                </a:solidFill>
                <a:latin typeface="+mn-lt"/>
                <a:ea typeface="+mn-ea"/>
                <a:cs typeface="+mn-cs"/>
              </a:rPr>
              <a:t>you can </a:t>
            </a:r>
            <a:r>
              <a:rPr lang="en-US" sz="1600" b="0" baseline="0">
                <a:solidFill>
                  <a:schemeClr val="dk1"/>
                </a:solidFill>
                <a:latin typeface="+mn-lt"/>
                <a:ea typeface="+mn-ea"/>
                <a:cs typeface="+mn-cs"/>
              </a:rPr>
              <a:t>generate word calculations.</a:t>
            </a:r>
            <a:endParaRPr lang="en-US" altLang="zh-CN" sz="1600" b="0" baseline="0">
              <a:solidFill>
                <a:schemeClr val="dk1"/>
              </a:solidFill>
              <a:latin typeface="+mn-lt"/>
              <a:ea typeface="+mn-ea"/>
              <a:cs typeface="+mn-cs"/>
            </a:endParaRPr>
          </a:p>
          <a:p>
            <a:r>
              <a:rPr lang="en-US" altLang="zh-CN" sz="1600" b="0">
                <a:solidFill>
                  <a:schemeClr val="dk1"/>
                </a:solidFill>
                <a:latin typeface="+mn-lt"/>
                <a:ea typeface="+mn-ea"/>
                <a:cs typeface="+mn-cs"/>
              </a:rPr>
              <a:t>..........</a:t>
            </a:r>
          </a:p>
          <a:p>
            <a:r>
              <a:rPr lang="en-US" altLang="zh-CN" sz="1600" b="0">
                <a:solidFill>
                  <a:schemeClr val="dk1"/>
                </a:solidFill>
                <a:latin typeface="+mn-lt"/>
                <a:ea typeface="+mn-ea"/>
                <a:cs typeface="+mn-cs"/>
              </a:rPr>
              <a:t>5</a:t>
            </a:r>
            <a:r>
              <a:rPr lang="zh-CN" altLang="en-US" sz="1600" b="0">
                <a:solidFill>
                  <a:schemeClr val="dk1"/>
                </a:solidFill>
                <a:latin typeface="+mn-lt"/>
                <a:ea typeface="+mn-ea"/>
                <a:cs typeface="+mn-cs"/>
              </a:rPr>
              <a:t>、</a:t>
            </a:r>
            <a:r>
              <a:rPr lang="en-US" altLang="zh-CN" sz="1600" b="0">
                <a:solidFill>
                  <a:schemeClr val="dk1"/>
                </a:solidFill>
                <a:latin typeface="+mn-lt"/>
                <a:ea typeface="+mn-ea"/>
                <a:cs typeface="+mn-cs"/>
              </a:rPr>
              <a:t>Others:......</a:t>
            </a:r>
          </a:p>
        </xdr:txBody>
      </xdr:sp>
      <xdr:pic macro="[0]!Sheet3.操作说明hide">
        <xdr:nvPicPr>
          <xdr:cNvPr id="38" name="图片 37" descr="repeat.png">
            <a:extLst>
              <a:ext uri="{FF2B5EF4-FFF2-40B4-BE49-F238E27FC236}">
                <a16:creationId xmlns:a16="http://schemas.microsoft.com/office/drawing/2014/main" id="{00000000-0008-0000-0600-000026000000}"/>
              </a:ext>
            </a:extLst>
          </xdr:cNvPr>
          <xdr:cNvPicPr>
            <a:picLocks noChangeAspect="1"/>
          </xdr:cNvPicPr>
        </xdr:nvPicPr>
        <xdr:blipFill>
          <a:blip xmlns:r="http://schemas.openxmlformats.org/officeDocument/2006/relationships" r:embed="rId6" cstate="print"/>
          <a:stretch>
            <a:fillRect/>
          </a:stretch>
        </xdr:blipFill>
        <xdr:spPr>
          <a:xfrm>
            <a:off x="170199" y="7262648"/>
            <a:ext cx="838201" cy="838201"/>
          </a:xfrm>
          <a:prstGeom prst="rect">
            <a:avLst/>
          </a:prstGeom>
        </xdr:spPr>
      </xdr:pic>
      <xdr:pic macro="[0]!Sheet3.操作说明hide">
        <xdr:nvPicPr>
          <xdr:cNvPr id="49" name="图片 48" descr="repeat.png">
            <a:extLst>
              <a:ext uri="{FF2B5EF4-FFF2-40B4-BE49-F238E27FC236}">
                <a16:creationId xmlns:a16="http://schemas.microsoft.com/office/drawing/2014/main" id="{00000000-0008-0000-0600-000031000000}"/>
              </a:ext>
            </a:extLst>
          </xdr:cNvPr>
          <xdr:cNvPicPr>
            <a:picLocks noChangeAspect="1"/>
          </xdr:cNvPicPr>
        </xdr:nvPicPr>
        <xdr:blipFill>
          <a:blip xmlns:r="http://schemas.openxmlformats.org/officeDocument/2006/relationships" r:embed="rId6" cstate="print"/>
          <a:stretch>
            <a:fillRect/>
          </a:stretch>
        </xdr:blipFill>
        <xdr:spPr>
          <a:xfrm>
            <a:off x="9744075" y="9858375"/>
            <a:ext cx="838201" cy="838201"/>
          </a:xfrm>
          <a:prstGeom prst="rect">
            <a:avLst/>
          </a:prstGeom>
        </xdr:spPr>
      </xdr:pic>
    </xdr:grpSp>
    <xdr:clientData/>
  </xdr:twoCellAnchor>
  <xdr:twoCellAnchor>
    <xdr:from>
      <xdr:col>0</xdr:col>
      <xdr:colOff>0</xdr:colOff>
      <xdr:row>64</xdr:row>
      <xdr:rowOff>136071</xdr:rowOff>
    </xdr:from>
    <xdr:to>
      <xdr:col>18</xdr:col>
      <xdr:colOff>595932</xdr:colOff>
      <xdr:row>78</xdr:row>
      <xdr:rowOff>22217</xdr:rowOff>
    </xdr:to>
    <xdr:grpSp>
      <xdr:nvGrpSpPr>
        <xdr:cNvPr id="56" name="颜色及图标说明">
          <a:extLst>
            <a:ext uri="{FF2B5EF4-FFF2-40B4-BE49-F238E27FC236}">
              <a16:creationId xmlns:a16="http://schemas.microsoft.com/office/drawing/2014/main" id="{00000000-0008-0000-0600-000038000000}"/>
            </a:ext>
          </a:extLst>
        </xdr:cNvPr>
        <xdr:cNvGrpSpPr/>
      </xdr:nvGrpSpPr>
      <xdr:grpSpPr>
        <a:xfrm>
          <a:off x="0" y="12956721"/>
          <a:ext cx="10654332" cy="2553146"/>
          <a:chOff x="-8706" y="11866445"/>
          <a:chExt cx="11891282" cy="2362200"/>
        </a:xfrm>
      </xdr:grpSpPr>
      <xdr:sp macro="" textlink="" fLocksText="0">
        <xdr:nvSpPr>
          <xdr:cNvPr id="39" name="TextBox 38">
            <a:extLst>
              <a:ext uri="{FF2B5EF4-FFF2-40B4-BE49-F238E27FC236}">
                <a16:creationId xmlns:a16="http://schemas.microsoft.com/office/drawing/2014/main" id="{00000000-0008-0000-0600-000027000000}"/>
              </a:ext>
            </a:extLst>
          </xdr:cNvPr>
          <xdr:cNvSpPr txBox="1"/>
        </xdr:nvSpPr>
        <xdr:spPr>
          <a:xfrm>
            <a:off x="-8706" y="11866445"/>
            <a:ext cx="11891282" cy="23622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Color and Icon Description</a:t>
            </a:r>
            <a:endParaRPr lang="en-US" altLang="zh-CN" sz="1400" b="0">
              <a:solidFill>
                <a:schemeClr val="dk1"/>
              </a:solidFill>
              <a:latin typeface="+mn-lt"/>
              <a:ea typeface="+mn-ea"/>
              <a:cs typeface="+mn-cs"/>
            </a:endParaRPr>
          </a:p>
          <a:p>
            <a:endParaRPr lang="en-US" altLang="zh-CN" sz="11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n-lt"/>
                <a:ea typeface="+mn-ea"/>
                <a:cs typeface="+mn-cs"/>
              </a:rPr>
              <a:t>Pink</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Data</a:t>
            </a:r>
            <a:r>
              <a:rPr lang="en-US" sz="1400" b="0" baseline="0">
                <a:solidFill>
                  <a:schemeClr val="dk1"/>
                </a:solidFill>
                <a:latin typeface="+mn-lt"/>
                <a:ea typeface="+mn-ea"/>
                <a:cs typeface="+mn-cs"/>
              </a:rPr>
              <a:t> input</a:t>
            </a:r>
            <a:endParaRPr lang="en-US" sz="1400" b="0">
              <a:solidFill>
                <a:schemeClr val="dk1"/>
              </a:solidFill>
              <a:latin typeface="+mn-lt"/>
              <a:ea typeface="+mn-ea"/>
              <a:cs typeface="+mn-cs"/>
            </a:endParaRPr>
          </a:p>
          <a:p>
            <a:pPr marL="0" marR="0" indent="0" defTabSz="914400" rtl="0" eaLnBrk="1" fontAlgn="auto" latinLnBrk="0" hangingPunct="1">
              <a:lnSpc>
                <a:spcPct val="100000"/>
              </a:lnSpc>
              <a:spcBef>
                <a:spcPts val="0"/>
              </a:spcBef>
              <a:spcAft>
                <a:spcPts val="0"/>
              </a:spcAft>
              <a:buClrTx/>
              <a:buSzTx/>
              <a:buFontTx/>
              <a:buNone/>
              <a:tabLst/>
              <a:defRPr/>
            </a:pPr>
            <a:r>
              <a:rPr lang="en-US" sz="1400">
                <a:solidFill>
                  <a:schemeClr val="dk1"/>
                </a:solidFill>
                <a:latin typeface="+mn-lt"/>
                <a:ea typeface="+mn-ea"/>
                <a:cs typeface="+mn-cs"/>
              </a:rPr>
              <a:t>Blue</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a:t>
            </a:r>
            <a:r>
              <a:rPr lang="en-US" altLang="zh-CN" sz="1400" b="0">
                <a:solidFill>
                  <a:schemeClr val="dk1"/>
                </a:solidFill>
                <a:latin typeface="+mn-lt"/>
                <a:ea typeface="+mn-ea"/>
                <a:cs typeface="+mn-cs"/>
              </a:rPr>
              <a:t>ata output</a:t>
            </a:r>
            <a:endParaRPr lang="en-US" sz="1400" b="0">
              <a:solidFill>
                <a:schemeClr val="dk1"/>
              </a:solidFill>
              <a:latin typeface="+mn-lt"/>
              <a:ea typeface="+mn-ea"/>
              <a:cs typeface="+mn-cs"/>
            </a:endParaRPr>
          </a:p>
          <a:p>
            <a:r>
              <a:rPr lang="en-US" altLang="zh-CN" sz="1400" b="0">
                <a:solidFill>
                  <a:schemeClr val="dk1"/>
                </a:solidFill>
                <a:latin typeface="+mn-lt"/>
                <a:ea typeface="+mn-ea"/>
                <a:cs typeface="+mn-cs"/>
              </a:rPr>
              <a:t>Gray</a:t>
            </a:r>
            <a:r>
              <a:rPr lang="zh-CN" altLang="en-US" sz="1400" b="0">
                <a:solidFill>
                  <a:schemeClr val="dk1"/>
                </a:solidFill>
                <a:latin typeface="+mn-lt"/>
                <a:ea typeface="+mn-ea"/>
                <a:cs typeface="+mn-cs"/>
              </a:rPr>
              <a:t>：</a:t>
            </a:r>
            <a:r>
              <a:rPr lang="en-US" sz="1400" b="0">
                <a:solidFill>
                  <a:schemeClr val="dk1"/>
                </a:solidFill>
                <a:latin typeface="+mn-lt"/>
                <a:ea typeface="+mn-ea"/>
                <a:cs typeface="+mn-cs"/>
              </a:rPr>
              <a:t>		   Directions</a:t>
            </a:r>
          </a:p>
        </xdr:txBody>
      </xdr:sp>
      <xdr:sp macro="" textlink="">
        <xdr:nvSpPr>
          <xdr:cNvPr id="43" name="矩形 42">
            <a:extLst>
              <a:ext uri="{FF2B5EF4-FFF2-40B4-BE49-F238E27FC236}">
                <a16:creationId xmlns:a16="http://schemas.microsoft.com/office/drawing/2014/main" id="{00000000-0008-0000-0600-00002B000000}"/>
              </a:ext>
            </a:extLst>
          </xdr:cNvPr>
          <xdr:cNvSpPr/>
        </xdr:nvSpPr>
        <xdr:spPr>
          <a:xfrm>
            <a:off x="784255" y="12984555"/>
            <a:ext cx="1038225" cy="200024"/>
          </a:xfrm>
          <a:prstGeom prst="rect">
            <a:avLst/>
          </a:prstGeom>
          <a:solidFill>
            <a:schemeClr val="bg1">
              <a:lumMod val="75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lang="zh-CN" altLang="en-US" sz="1100"/>
          </a:p>
        </xdr:txBody>
      </xdr:sp>
      <xdr:pic macro="[0]!Sheet3.颜色及图标说明hide">
        <xdr:nvPicPr>
          <xdr:cNvPr id="50" name="图片 49" descr="repeat.png">
            <a:extLst>
              <a:ext uri="{FF2B5EF4-FFF2-40B4-BE49-F238E27FC236}">
                <a16:creationId xmlns:a16="http://schemas.microsoft.com/office/drawing/2014/main" id="{00000000-0008-0000-0600-000032000000}"/>
              </a:ext>
            </a:extLst>
          </xdr:cNvPr>
          <xdr:cNvPicPr>
            <a:picLocks noChangeAspect="1"/>
          </xdr:cNvPicPr>
        </xdr:nvPicPr>
        <xdr:blipFill>
          <a:blip xmlns:r="http://schemas.openxmlformats.org/officeDocument/2006/relationships" r:embed="rId6" cstate="print"/>
          <a:stretch>
            <a:fillRect/>
          </a:stretch>
        </xdr:blipFill>
        <xdr:spPr>
          <a:xfrm>
            <a:off x="9848850" y="11925301"/>
            <a:ext cx="838201" cy="838201"/>
          </a:xfrm>
          <a:prstGeom prst="rect">
            <a:avLst/>
          </a:prstGeom>
        </xdr:spPr>
      </xdr:pic>
    </xdr:grpSp>
    <xdr:clientData/>
  </xdr:twoCellAnchor>
  <xdr:twoCellAnchor>
    <xdr:from>
      <xdr:col>0</xdr:col>
      <xdr:colOff>0</xdr:colOff>
      <xdr:row>78</xdr:row>
      <xdr:rowOff>60319</xdr:rowOff>
    </xdr:from>
    <xdr:to>
      <xdr:col>18</xdr:col>
      <xdr:colOff>683557</xdr:colOff>
      <xdr:row>91</xdr:row>
      <xdr:rowOff>152207</xdr:rowOff>
    </xdr:to>
    <xdr:grpSp>
      <xdr:nvGrpSpPr>
        <xdr:cNvPr id="57" name="参考规范">
          <a:extLst>
            <a:ext uri="{FF2B5EF4-FFF2-40B4-BE49-F238E27FC236}">
              <a16:creationId xmlns:a16="http://schemas.microsoft.com/office/drawing/2014/main" id="{00000000-0008-0000-0600-000039000000}"/>
            </a:ext>
          </a:extLst>
        </xdr:cNvPr>
        <xdr:cNvGrpSpPr/>
      </xdr:nvGrpSpPr>
      <xdr:grpSpPr>
        <a:xfrm>
          <a:off x="0" y="15547969"/>
          <a:ext cx="10673377" cy="2568388"/>
          <a:chOff x="9525" y="14286002"/>
          <a:chExt cx="12301438" cy="2324100"/>
        </a:xfrm>
      </xdr:grpSpPr>
      <xdr:sp macro="" textlink="" fLocksText="0">
        <xdr:nvSpPr>
          <xdr:cNvPr id="47" name="TextBox 46">
            <a:extLst>
              <a:ext uri="{FF2B5EF4-FFF2-40B4-BE49-F238E27FC236}">
                <a16:creationId xmlns:a16="http://schemas.microsoft.com/office/drawing/2014/main" id="{00000000-0008-0000-0600-00002F000000}"/>
              </a:ext>
            </a:extLst>
          </xdr:cNvPr>
          <xdr:cNvSpPr txBox="1"/>
        </xdr:nvSpPr>
        <xdr:spPr>
          <a:xfrm>
            <a:off x="9525" y="14286002"/>
            <a:ext cx="12301438"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Reference norms and Copyright</a:t>
            </a:r>
            <a:endParaRPr lang="zh-CN" altLang="en-US" sz="2400">
              <a:solidFill>
                <a:schemeClr val="dk1"/>
              </a:solidFill>
              <a:latin typeface="+mn-lt"/>
              <a:ea typeface="+mn-ea"/>
              <a:cs typeface="+mn-cs"/>
            </a:endParaRPr>
          </a:p>
          <a:p>
            <a:r>
              <a:rPr lang="en-US" altLang="zh-CN" sz="1600">
                <a:solidFill>
                  <a:sysClr val="windowText" lastClr="000000"/>
                </a:solidFill>
              </a:rPr>
              <a:t>Please quote the reference norms and Copyright</a:t>
            </a:r>
          </a:p>
          <a:p>
            <a:r>
              <a:rPr lang="en-US" altLang="zh-CN" sz="1600">
                <a:solidFill>
                  <a:sysClr val="windowText" lastClr="000000"/>
                </a:solidFill>
              </a:rPr>
              <a:t>Referenced specifications</a:t>
            </a:r>
            <a:r>
              <a:rPr lang="zh-CN" altLang="en-US" sz="1600">
                <a:solidFill>
                  <a:sysClr val="windowText" lastClr="000000"/>
                </a:solidFill>
              </a:rPr>
              <a:t>：</a:t>
            </a:r>
            <a:r>
              <a:rPr lang="en-US" altLang="zh-CN" sz="1600">
                <a:solidFill>
                  <a:sysClr val="windowText" lastClr="000000"/>
                </a:solidFill>
              </a:rPr>
              <a:t>XXXXXXXXXXXXXXXXXXXXXX</a:t>
            </a:r>
          </a:p>
          <a:p>
            <a:r>
              <a:rPr lang="en-US" altLang="zh-CN" sz="1600">
                <a:solidFill>
                  <a:sysClr val="windowText" lastClr="000000"/>
                </a:solidFill>
                <a:latin typeface="+mn-lt"/>
                <a:ea typeface="+mn-ea"/>
                <a:cs typeface="+mn-cs"/>
              </a:rPr>
              <a:t>Copyright</a:t>
            </a:r>
            <a:r>
              <a:rPr lang="zh-CN" altLang="en-US" sz="1600">
                <a:solidFill>
                  <a:sysClr val="windowText" lastClr="000000"/>
                </a:solidFill>
                <a:latin typeface="+mn-lt"/>
                <a:ea typeface="+mn-ea"/>
                <a:cs typeface="+mn-cs"/>
              </a:rPr>
              <a:t>：</a:t>
            </a:r>
            <a:r>
              <a:rPr lang="en-US" altLang="zh-CN" sz="1600">
                <a:solidFill>
                  <a:sysClr val="windowText" lastClr="000000"/>
                </a:solidFill>
                <a:latin typeface="+mn-lt"/>
                <a:ea typeface="+mn-ea"/>
                <a:cs typeface="+mn-cs"/>
              </a:rPr>
              <a:t>..........</a:t>
            </a:r>
          </a:p>
        </xdr:txBody>
      </xdr:sp>
      <xdr:pic macro="[0]!Sheet3.参考规范hide">
        <xdr:nvPicPr>
          <xdr:cNvPr id="51" name="图片 50" descr="repeat.png">
            <a:extLst>
              <a:ext uri="{FF2B5EF4-FFF2-40B4-BE49-F238E27FC236}">
                <a16:creationId xmlns:a16="http://schemas.microsoft.com/office/drawing/2014/main" id="{00000000-0008-0000-0600-000033000000}"/>
              </a:ext>
            </a:extLst>
          </xdr:cNvPr>
          <xdr:cNvPicPr>
            <a:picLocks noChangeAspect="1"/>
          </xdr:cNvPicPr>
        </xdr:nvPicPr>
        <xdr:blipFill>
          <a:blip xmlns:r="http://schemas.openxmlformats.org/officeDocument/2006/relationships" r:embed="rId7" cstate="print"/>
          <a:stretch>
            <a:fillRect/>
          </a:stretch>
        </xdr:blipFill>
        <xdr:spPr>
          <a:xfrm>
            <a:off x="9848850" y="14335125"/>
            <a:ext cx="876300" cy="876300"/>
          </a:xfrm>
          <a:prstGeom prst="rect">
            <a:avLst/>
          </a:prstGeom>
        </xdr:spPr>
      </xdr:pic>
    </xdr:grpSp>
    <xdr:clientData/>
  </xdr:twoCellAnchor>
  <xdr:twoCellAnchor>
    <xdr:from>
      <xdr:col>0</xdr:col>
      <xdr:colOff>0</xdr:colOff>
      <xdr:row>92</xdr:row>
      <xdr:rowOff>85727</xdr:rowOff>
    </xdr:from>
    <xdr:to>
      <xdr:col>18</xdr:col>
      <xdr:colOff>680356</xdr:colOff>
      <xdr:row>112</xdr:row>
      <xdr:rowOff>149679</xdr:rowOff>
    </xdr:to>
    <xdr:grpSp>
      <xdr:nvGrpSpPr>
        <xdr:cNvPr id="58" name="其他">
          <a:extLst>
            <a:ext uri="{FF2B5EF4-FFF2-40B4-BE49-F238E27FC236}">
              <a16:creationId xmlns:a16="http://schemas.microsoft.com/office/drawing/2014/main" id="{00000000-0008-0000-0600-00003A000000}"/>
            </a:ext>
          </a:extLst>
        </xdr:cNvPr>
        <xdr:cNvGrpSpPr/>
      </xdr:nvGrpSpPr>
      <xdr:grpSpPr>
        <a:xfrm>
          <a:off x="0" y="18240377"/>
          <a:ext cx="10677796" cy="3873952"/>
          <a:chOff x="0" y="13754552"/>
          <a:chExt cx="12288896" cy="2324100"/>
        </a:xfrm>
      </xdr:grpSpPr>
      <xdr:sp macro="" textlink="" fLocksText="0">
        <xdr:nvSpPr>
          <xdr:cNvPr id="48" name="TextBox 47">
            <a:extLst>
              <a:ext uri="{FF2B5EF4-FFF2-40B4-BE49-F238E27FC236}">
                <a16:creationId xmlns:a16="http://schemas.microsoft.com/office/drawing/2014/main" id="{00000000-0008-0000-0600-000030000000}"/>
              </a:ext>
            </a:extLst>
          </xdr:cNvPr>
          <xdr:cNvSpPr txBox="1"/>
        </xdr:nvSpPr>
        <xdr:spPr>
          <a:xfrm>
            <a:off x="0" y="13754552"/>
            <a:ext cx="12288896" cy="2324100"/>
          </a:xfrm>
          <a:prstGeom prst="rect">
            <a:avLst/>
          </a:prstGeom>
          <a:solidFill>
            <a:schemeClr val="bg1">
              <a:lumMod val="85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altLang="zh-CN" sz="1800" b="1">
                <a:solidFill>
                  <a:sysClr val="windowText" lastClr="000000"/>
                </a:solidFill>
                <a:latin typeface="+mn-lt"/>
                <a:ea typeface="+mn-ea"/>
                <a:cs typeface="+mn-cs"/>
              </a:rPr>
              <a:t>Others</a:t>
            </a:r>
          </a:p>
          <a:p>
            <a:pPr lvl="0"/>
            <a:r>
              <a:rPr lang="en-US" altLang="zh-CN" sz="1400">
                <a:solidFill>
                  <a:schemeClr val="dk1"/>
                </a:solidFill>
                <a:latin typeface="+mn-lt"/>
                <a:ea typeface="+mn-ea"/>
                <a:cs typeface="+mn-cs"/>
              </a:rPr>
              <a:t>[1]</a:t>
            </a:r>
            <a:r>
              <a:rPr lang="zh-CN" altLang="en-US" sz="1400">
                <a:solidFill>
                  <a:schemeClr val="dk1"/>
                </a:solidFill>
                <a:latin typeface="+mn-lt"/>
                <a:ea typeface="+mn-ea"/>
                <a:cs typeface="+mn-cs"/>
              </a:rPr>
              <a:t>武汉水利水电学院河流泥沙工程学教研室编著，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河流泥沙工程学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（上册）。水利电力出版社，</a:t>
            </a:r>
            <a:r>
              <a:rPr lang="en-US" sz="1400">
                <a:solidFill>
                  <a:schemeClr val="dk1"/>
                </a:solidFill>
                <a:latin typeface="+mn-lt"/>
                <a:ea typeface="+mn-ea"/>
                <a:cs typeface="+mn-cs"/>
              </a:rPr>
              <a:t>1983</a:t>
            </a:r>
            <a:r>
              <a:rPr lang="zh-CN" altLang="en-US" sz="1400">
                <a:solidFill>
                  <a:schemeClr val="dk1"/>
                </a:solidFill>
                <a:latin typeface="+mn-lt"/>
                <a:ea typeface="+mn-ea"/>
                <a:cs typeface="+mn-cs"/>
              </a:rPr>
              <a:t>年</a:t>
            </a:r>
            <a:r>
              <a:rPr lang="en-US" sz="1400">
                <a:solidFill>
                  <a:schemeClr val="dk1"/>
                </a:solidFill>
                <a:latin typeface="+mn-lt"/>
                <a:ea typeface="+mn-ea"/>
                <a:cs typeface="+mn-cs"/>
              </a:rPr>
              <a:t>11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[2]</a:t>
            </a:r>
            <a:r>
              <a:rPr lang="zh-CN" altLang="en-US" sz="1400">
                <a:solidFill>
                  <a:schemeClr val="dk1"/>
                </a:solidFill>
                <a:latin typeface="+mn-lt"/>
                <a:ea typeface="+mn-ea"/>
                <a:cs typeface="+mn-cs"/>
              </a:rPr>
              <a:t>韩其为，著，</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水库淤积</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。科学出版社，</a:t>
            </a:r>
            <a:r>
              <a:rPr lang="en-US" sz="1400">
                <a:solidFill>
                  <a:schemeClr val="dk1"/>
                </a:solidFill>
                <a:latin typeface="+mn-lt"/>
                <a:ea typeface="+mn-ea"/>
                <a:cs typeface="+mn-cs"/>
              </a:rPr>
              <a:t>2003</a:t>
            </a:r>
            <a:r>
              <a:rPr lang="zh-CN" altLang="en-US" sz="1400">
                <a:solidFill>
                  <a:schemeClr val="dk1"/>
                </a:solidFill>
                <a:latin typeface="+mn-lt"/>
                <a:ea typeface="+mn-ea"/>
                <a:cs typeface="+mn-cs"/>
              </a:rPr>
              <a:t>年。</a:t>
            </a:r>
          </a:p>
          <a:p>
            <a:pPr lvl="0"/>
            <a:r>
              <a:rPr lang="en-US" altLang="zh-CN" sz="1400">
                <a:solidFill>
                  <a:schemeClr val="dk1"/>
                </a:solidFill>
                <a:latin typeface="+mn-lt"/>
                <a:ea typeface="+mn-ea"/>
                <a:cs typeface="+mn-cs"/>
              </a:rPr>
              <a:t>[3]</a:t>
            </a:r>
            <a:r>
              <a:rPr lang="zh-CN" altLang="en-US" sz="1400">
                <a:solidFill>
                  <a:schemeClr val="dk1"/>
                </a:solidFill>
                <a:latin typeface="+mn-lt"/>
                <a:ea typeface="+mn-ea"/>
                <a:cs typeface="+mn-cs"/>
              </a:rPr>
              <a:t>王崇浩，韩其为，等，向家坝和溪洛渡水库下游河床冲淤变形一维数学模型计算与分析。中国水利水电科学研究院，</a:t>
            </a:r>
            <a:r>
              <a:rPr lang="en-US" sz="1400">
                <a:solidFill>
                  <a:schemeClr val="dk1"/>
                </a:solidFill>
                <a:latin typeface="+mn-lt"/>
                <a:ea typeface="+mn-ea"/>
                <a:cs typeface="+mn-cs"/>
              </a:rPr>
              <a:t>1997</a:t>
            </a:r>
            <a:r>
              <a:rPr lang="zh-CN" altLang="en-US" sz="1400">
                <a:solidFill>
                  <a:schemeClr val="dk1"/>
                </a:solidFill>
                <a:latin typeface="+mn-lt"/>
                <a:ea typeface="+mn-ea"/>
                <a:cs typeface="+mn-cs"/>
              </a:rPr>
              <a:t>年</a:t>
            </a:r>
            <a:r>
              <a:rPr lang="en-US" sz="1400">
                <a:solidFill>
                  <a:schemeClr val="dk1"/>
                </a:solidFill>
                <a:latin typeface="+mn-lt"/>
                <a:ea typeface="+mn-ea"/>
                <a:cs typeface="+mn-cs"/>
              </a:rPr>
              <a:t>1</a:t>
            </a:r>
            <a:r>
              <a:rPr lang="zh-CN" altLang="en-US" sz="1400">
                <a:solidFill>
                  <a:schemeClr val="dk1"/>
                </a:solidFill>
                <a:latin typeface="+mn-lt"/>
                <a:ea typeface="+mn-ea"/>
                <a:cs typeface="+mn-cs"/>
              </a:rPr>
              <a:t>月。</a:t>
            </a:r>
          </a:p>
          <a:p>
            <a:pPr lvl="0"/>
            <a:r>
              <a:rPr lang="en-US" altLang="zh-CN" sz="1400">
                <a:solidFill>
                  <a:schemeClr val="dk1"/>
                </a:solidFill>
                <a:latin typeface="+mn-lt"/>
                <a:ea typeface="+mn-ea"/>
                <a:cs typeface="+mn-cs"/>
              </a:rPr>
              <a:t>[4]</a:t>
            </a:r>
            <a:r>
              <a:rPr lang="zh-CN" altLang="en-US" sz="1400">
                <a:solidFill>
                  <a:schemeClr val="dk1"/>
                </a:solidFill>
                <a:latin typeface="+mn-lt"/>
                <a:ea typeface="+mn-ea"/>
                <a:cs typeface="+mn-cs"/>
              </a:rPr>
              <a:t>吴持恭，主编，</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水力学</a:t>
            </a:r>
            <a:r>
              <a:rPr lang="en-US" altLang="zh-CN" sz="1400">
                <a:solidFill>
                  <a:schemeClr val="dk1"/>
                </a:solidFill>
                <a:latin typeface="+mn-lt"/>
                <a:ea typeface="+mn-ea"/>
                <a:cs typeface="+mn-cs"/>
              </a:rPr>
              <a:t>》</a:t>
            </a:r>
            <a:r>
              <a:rPr lang="zh-CN" altLang="en-US" sz="1400">
                <a:solidFill>
                  <a:schemeClr val="dk1"/>
                </a:solidFill>
                <a:latin typeface="+mn-lt"/>
                <a:ea typeface="+mn-ea"/>
                <a:cs typeface="+mn-cs"/>
              </a:rPr>
              <a:t>（上册，第二版）。高等教育出版社，</a:t>
            </a:r>
            <a:r>
              <a:rPr lang="en-US" sz="1400">
                <a:solidFill>
                  <a:schemeClr val="dk1"/>
                </a:solidFill>
                <a:latin typeface="+mn-lt"/>
                <a:ea typeface="+mn-ea"/>
                <a:cs typeface="+mn-cs"/>
              </a:rPr>
              <a:t>1996</a:t>
            </a:r>
            <a:r>
              <a:rPr lang="zh-CN" altLang="en-US" sz="1400">
                <a:solidFill>
                  <a:schemeClr val="dk1"/>
                </a:solidFill>
                <a:latin typeface="+mn-lt"/>
                <a:ea typeface="+mn-ea"/>
                <a:cs typeface="+mn-cs"/>
              </a:rPr>
              <a:t>年</a:t>
            </a:r>
            <a:r>
              <a:rPr lang="en-US" sz="1400">
                <a:solidFill>
                  <a:schemeClr val="dk1"/>
                </a:solidFill>
                <a:latin typeface="+mn-lt"/>
                <a:ea typeface="+mn-ea"/>
                <a:cs typeface="+mn-cs"/>
              </a:rPr>
              <a:t>4</a:t>
            </a:r>
            <a:r>
              <a:rPr lang="zh-CN" altLang="en-US" sz="1400">
                <a:solidFill>
                  <a:schemeClr val="dk1"/>
                </a:solidFill>
                <a:latin typeface="+mn-lt"/>
                <a:ea typeface="+mn-ea"/>
                <a:cs typeface="+mn-cs"/>
              </a:rPr>
              <a:t>月。</a:t>
            </a:r>
          </a:p>
          <a:p>
            <a:r>
              <a:rPr lang="en-US" altLang="zh-CN" sz="1400" baseline="0">
                <a:solidFill>
                  <a:schemeClr val="dk1"/>
                </a:solidFill>
                <a:latin typeface="+mn-lt"/>
                <a:ea typeface="+mn-ea"/>
                <a:cs typeface="+mn-cs"/>
              </a:rPr>
              <a:t>[5]Bishop, A. W. (1955). “The use of the slip circle in the stability analysis of slopes.” </a:t>
            </a:r>
            <a:r>
              <a:rPr lang="en-US" altLang="zh-CN" sz="1400" i="1" baseline="0">
                <a:solidFill>
                  <a:schemeClr val="dk1"/>
                </a:solidFill>
                <a:latin typeface="+mn-lt"/>
                <a:ea typeface="+mn-ea"/>
                <a:cs typeface="+mn-cs"/>
              </a:rPr>
              <a:t>J. Geotechnique, 5(1), 7-17.</a:t>
            </a:r>
          </a:p>
          <a:p>
            <a:r>
              <a:rPr lang="en-US" altLang="zh-CN" sz="1400" baseline="0">
                <a:solidFill>
                  <a:schemeClr val="dk1"/>
                </a:solidFill>
                <a:latin typeface="+mn-lt"/>
                <a:ea typeface="+mn-ea"/>
                <a:cs typeface="+mn-cs"/>
              </a:rPr>
              <a:t>[6]Chang, D. S., &amp; Zhang, L. M. (2010). “Simulation of the erosion process of landslide dams due to overtopping considering variations in soil erodibility along [7]depth.” </a:t>
            </a:r>
            <a:r>
              <a:rPr lang="en-US" altLang="zh-CN" sz="1400" i="1" baseline="0">
                <a:solidFill>
                  <a:schemeClr val="dk1"/>
                </a:solidFill>
                <a:latin typeface="+mn-lt"/>
                <a:ea typeface="+mn-ea"/>
                <a:cs typeface="+mn-cs"/>
              </a:rPr>
              <a:t>Nat Hazards Earth Syst Sci, 10(4), 933-946.</a:t>
            </a:r>
          </a:p>
          <a:p>
            <a:r>
              <a:rPr lang="en-US" altLang="zh-CN" sz="1400" baseline="0">
                <a:solidFill>
                  <a:schemeClr val="dk1"/>
                </a:solidFill>
                <a:latin typeface="+mn-lt"/>
                <a:ea typeface="+mn-ea"/>
                <a:cs typeface="+mn-cs"/>
              </a:rPr>
              <a:t>[8]Chen, Z. Y. &amp; Wang, X. G. (2000). “Chaper12: Rock slope engineering.” </a:t>
            </a:r>
            <a:r>
              <a:rPr lang="en-US" altLang="zh-CN" sz="1400" i="1" baseline="0">
                <a:solidFill>
                  <a:schemeClr val="dk1"/>
                </a:solidFill>
                <a:latin typeface="+mn-lt"/>
                <a:ea typeface="+mn-ea"/>
                <a:cs typeface="+mn-cs"/>
              </a:rPr>
              <a:t>Large Dams in China, Pan, J. Z. &amp; He, J.</a:t>
            </a:r>
            <a:r>
              <a:rPr lang="en-US" altLang="zh-CN" sz="1400" baseline="0">
                <a:solidFill>
                  <a:schemeClr val="dk1"/>
                </a:solidFill>
                <a:latin typeface="+mn-lt"/>
                <a:ea typeface="+mn-ea"/>
                <a:cs typeface="+mn-cs"/>
              </a:rPr>
              <a:t>eds, China Hydropower Press, China, 695-721.</a:t>
            </a:r>
          </a:p>
          <a:p>
            <a:r>
              <a:rPr lang="en-US" altLang="zh-CN" sz="1400" baseline="0">
                <a:solidFill>
                  <a:schemeClr val="dk1"/>
                </a:solidFill>
                <a:latin typeface="+mn-lt"/>
                <a:ea typeface="+mn-ea"/>
                <a:cs typeface="+mn-cs"/>
              </a:rPr>
              <a:t>[9]Chen, Z. Y., &amp; Shao, C. M. (1988). “Evaluation of minimum factor of safety in slope stability analysis.” </a:t>
            </a:r>
            <a:r>
              <a:rPr lang="en-US" altLang="zh-CN" sz="1400" i="1" baseline="0">
                <a:solidFill>
                  <a:schemeClr val="dk1"/>
                </a:solidFill>
                <a:latin typeface="+mn-lt"/>
                <a:ea typeface="+mn-ea"/>
                <a:cs typeface="+mn-cs"/>
              </a:rPr>
              <a:t>Canadian Geotechnical Journal, 25(4), 735-748.</a:t>
            </a:r>
          </a:p>
          <a:p>
            <a:r>
              <a:rPr lang="en-US" altLang="zh-CN" sz="1400" baseline="0">
                <a:solidFill>
                  <a:schemeClr val="dk1"/>
                </a:solidFill>
                <a:latin typeface="+mn-lt"/>
                <a:ea typeface="+mn-ea"/>
                <a:cs typeface="+mn-cs"/>
              </a:rPr>
              <a:t>[10]Fread, D. L. (1984a). “DAMBRK: The NWS dam break flood forecasting model.” National Weather Service(NWS) Report, NOAA, Silver Spring, MA.</a:t>
            </a:r>
          </a:p>
          <a:p>
            <a:r>
              <a:rPr lang="en-US" altLang="zh-CN" sz="1400" baseline="0">
                <a:solidFill>
                  <a:schemeClr val="dk1"/>
                </a:solidFill>
                <a:latin typeface="+mn-lt"/>
                <a:ea typeface="+mn-ea"/>
                <a:cs typeface="+mn-cs"/>
              </a:rPr>
              <a:t>[11]Fread, D. L. (1988). “BREACH: An erosion model for earthen dam failures (Model description and user manual).”National Oceanic and Atmospheric [12]Administration, National Weather Service, Silver Spring, MD.</a:t>
            </a:r>
          </a:p>
          <a:p>
            <a:r>
              <a:rPr lang="en-US" altLang="zh-CN" sz="1400" baseline="0">
                <a:solidFill>
                  <a:schemeClr val="dk1"/>
                </a:solidFill>
                <a:latin typeface="+mn-lt"/>
                <a:ea typeface="+mn-ea"/>
                <a:cs typeface="+mn-cs"/>
              </a:rPr>
              <a:t>[13]Lowe, III, J., &amp; Karafiath (1959). “Stability of earth dam upon drawdown.” First Pan-American Conference on Soil Mechanics and Foundation Engineering. Mexico City.</a:t>
            </a:r>
            <a:endParaRPr lang="en-US" altLang="zh-CN" sz="1400" b="0">
              <a:solidFill>
                <a:srgbClr val="FF0000"/>
              </a:solidFill>
              <a:latin typeface="+mn-lt"/>
              <a:ea typeface="+mn-ea"/>
              <a:cs typeface="+mn-cs"/>
            </a:endParaRPr>
          </a:p>
        </xdr:txBody>
      </xdr:sp>
      <xdr:pic macro="[0]!Sheet3.其他hide">
        <xdr:nvPicPr>
          <xdr:cNvPr id="52" name="图片 51" descr="repeat.png">
            <a:extLst>
              <a:ext uri="{FF2B5EF4-FFF2-40B4-BE49-F238E27FC236}">
                <a16:creationId xmlns:a16="http://schemas.microsoft.com/office/drawing/2014/main" id="{00000000-0008-0000-0600-000034000000}"/>
              </a:ext>
            </a:extLst>
          </xdr:cNvPr>
          <xdr:cNvPicPr>
            <a:picLocks noChangeAspect="1"/>
          </xdr:cNvPicPr>
        </xdr:nvPicPr>
        <xdr:blipFill>
          <a:blip xmlns:r="http://schemas.openxmlformats.org/officeDocument/2006/relationships" r:embed="rId8" cstate="print"/>
          <a:stretch>
            <a:fillRect/>
          </a:stretch>
        </xdr:blipFill>
        <xdr:spPr>
          <a:xfrm>
            <a:off x="9829800" y="13868400"/>
            <a:ext cx="838201" cy="838201"/>
          </a:xfrm>
          <a:prstGeom prst="rect">
            <a:avLst/>
          </a:prstGeom>
        </xdr:spPr>
      </xdr:pic>
    </xdr:grpSp>
    <xdr:clientData/>
  </xdr:twoCellAnchor>
  <xdr:twoCellAnchor>
    <xdr:from>
      <xdr:col>0</xdr:col>
      <xdr:colOff>0</xdr:colOff>
      <xdr:row>106</xdr:row>
      <xdr:rowOff>51195</xdr:rowOff>
    </xdr:from>
    <xdr:to>
      <xdr:col>18</xdr:col>
      <xdr:colOff>666994</xdr:colOff>
      <xdr:row>126</xdr:row>
      <xdr:rowOff>27213</xdr:rowOff>
    </xdr:to>
    <xdr:grpSp>
      <xdr:nvGrpSpPr>
        <xdr:cNvPr id="59" name="注意事项">
          <a:extLst>
            <a:ext uri="{FF2B5EF4-FFF2-40B4-BE49-F238E27FC236}">
              <a16:creationId xmlns:a16="http://schemas.microsoft.com/office/drawing/2014/main" id="{00000000-0008-0000-0600-00003B000000}"/>
            </a:ext>
          </a:extLst>
        </xdr:cNvPr>
        <xdr:cNvGrpSpPr/>
      </xdr:nvGrpSpPr>
      <xdr:grpSpPr>
        <a:xfrm>
          <a:off x="0" y="20872845"/>
          <a:ext cx="10672054" cy="3786018"/>
          <a:chOff x="-17010" y="19059524"/>
          <a:chExt cx="12272347" cy="2291122"/>
        </a:xfrm>
      </xdr:grpSpPr>
      <xdr:sp macro="" textlink="" fLocksText="0">
        <xdr:nvSpPr>
          <xdr:cNvPr id="36" name="TextBox 35">
            <a:extLst>
              <a:ext uri="{FF2B5EF4-FFF2-40B4-BE49-F238E27FC236}">
                <a16:creationId xmlns:a16="http://schemas.microsoft.com/office/drawing/2014/main" id="{00000000-0008-0000-0600-000024000000}"/>
              </a:ext>
            </a:extLst>
          </xdr:cNvPr>
          <xdr:cNvSpPr txBox="1"/>
        </xdr:nvSpPr>
        <xdr:spPr>
          <a:xfrm>
            <a:off x="-17010" y="19987128"/>
            <a:ext cx="12272347" cy="1363518"/>
          </a:xfrm>
          <a:prstGeom prst="rect">
            <a:avLst/>
          </a:prstGeom>
          <a:solidFill>
            <a:schemeClr val="bg1">
              <a:lumMod val="85000"/>
            </a:schemeClr>
          </a:solidFill>
          <a:ln w="9525" cmpd="sng">
            <a:solidFill>
              <a:schemeClr val="bg1">
                <a:lumMod val="75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pPr algn="ctr"/>
            <a:r>
              <a:rPr lang="en-US" sz="2400">
                <a:solidFill>
                  <a:schemeClr val="dk1"/>
                </a:solidFill>
                <a:latin typeface="+mn-lt"/>
                <a:ea typeface="+mn-ea"/>
                <a:cs typeface="+mn-cs"/>
              </a:rPr>
              <a:t>Cautions</a:t>
            </a:r>
          </a:p>
          <a:p>
            <a:pPr algn="l"/>
            <a:r>
              <a:rPr lang="zh-CN" altLang="en-US" sz="1800">
                <a:solidFill>
                  <a:schemeClr val="dk1"/>
                </a:solidFill>
                <a:latin typeface="+mn-lt"/>
                <a:ea typeface="+mn-ea"/>
                <a:cs typeface="+mn-cs"/>
              </a:rPr>
              <a:t>             本程序的执行需要与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边坡计算软件结合，但是现在还没有实现与</a:t>
            </a:r>
            <a:r>
              <a:rPr lang="en-US" altLang="zh-CN" sz="1800">
                <a:solidFill>
                  <a:schemeClr val="dk1"/>
                </a:solidFill>
                <a:latin typeface="+mn-lt"/>
                <a:ea typeface="+mn-ea"/>
                <a:cs typeface="+mn-cs"/>
              </a:rPr>
              <a:t>STAB</a:t>
            </a:r>
            <a:r>
              <a:rPr lang="zh-CN" altLang="en-US" sz="1800">
                <a:solidFill>
                  <a:schemeClr val="dk1"/>
                </a:solidFill>
                <a:latin typeface="+mn-lt"/>
                <a:ea typeface="+mn-ea"/>
                <a:cs typeface="+mn-cs"/>
              </a:rPr>
              <a:t>程序的结合，需要进行下一步工作</a:t>
            </a:r>
          </a:p>
        </xdr:txBody>
      </xdr:sp>
      <xdr:pic macro="[0]!Sheet3.注意事项hide">
        <xdr:nvPicPr>
          <xdr:cNvPr id="53" name="图片 52" descr="repeat.png">
            <a:extLst>
              <a:ext uri="{FF2B5EF4-FFF2-40B4-BE49-F238E27FC236}">
                <a16:creationId xmlns:a16="http://schemas.microsoft.com/office/drawing/2014/main" id="{00000000-0008-0000-0600-000035000000}"/>
              </a:ext>
            </a:extLst>
          </xdr:cNvPr>
          <xdr:cNvPicPr>
            <a:picLocks noChangeAspect="1"/>
          </xdr:cNvPicPr>
        </xdr:nvPicPr>
        <xdr:blipFill>
          <a:blip xmlns:r="http://schemas.openxmlformats.org/officeDocument/2006/relationships" r:embed="rId8" cstate="print"/>
          <a:stretch>
            <a:fillRect/>
          </a:stretch>
        </xdr:blipFill>
        <xdr:spPr>
          <a:xfrm>
            <a:off x="9810750" y="19059524"/>
            <a:ext cx="838201" cy="838201"/>
          </a:xfrm>
          <a:prstGeom prst="rect">
            <a:avLst/>
          </a:prstGeom>
        </xdr:spPr>
      </xdr:pic>
    </xdr:grpSp>
    <xdr:clientData/>
  </xdr:twoCellAnchor>
  <xdr:twoCellAnchor editAs="oneCell">
    <xdr:from>
      <xdr:col>0</xdr:col>
      <xdr:colOff>0</xdr:colOff>
      <xdr:row>0</xdr:row>
      <xdr:rowOff>0</xdr:rowOff>
    </xdr:from>
    <xdr:to>
      <xdr:col>2</xdr:col>
      <xdr:colOff>250371</xdr:colOff>
      <xdr:row>2</xdr:row>
      <xdr:rowOff>360441</xdr:rowOff>
    </xdr:to>
    <xdr:pic>
      <xdr:nvPicPr>
        <xdr:cNvPr id="44" name="Picture 2">
          <a:extLst>
            <a:ext uri="{FF2B5EF4-FFF2-40B4-BE49-F238E27FC236}">
              <a16:creationId xmlns:a16="http://schemas.microsoft.com/office/drawing/2014/main" id="{00000000-0008-0000-0600-00002C000000}"/>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0" y="0"/>
          <a:ext cx="1488621" cy="1163262"/>
        </a:xfrm>
        <a:prstGeom prst="rect">
          <a:avLst/>
        </a:prstGeom>
      </xdr:spPr>
    </xdr:pic>
    <xdr:clientData/>
  </xdr:twoCellAnchor>
  <xdr:twoCellAnchor editAs="oneCell">
    <xdr:from>
      <xdr:col>6</xdr:col>
      <xdr:colOff>340179</xdr:colOff>
      <xdr:row>13</xdr:row>
      <xdr:rowOff>73176</xdr:rowOff>
    </xdr:from>
    <xdr:to>
      <xdr:col>10</xdr:col>
      <xdr:colOff>489858</xdr:colOff>
      <xdr:row>17</xdr:row>
      <xdr:rowOff>149678</xdr:rowOff>
    </xdr:to>
    <xdr:pic>
      <xdr:nvPicPr>
        <xdr:cNvPr id="45" name="图片 44">
          <a:extLst>
            <a:ext uri="{FF2B5EF4-FFF2-40B4-BE49-F238E27FC236}">
              <a16:creationId xmlns:a16="http://schemas.microsoft.com/office/drawing/2014/main" id="{00000000-0008-0000-0600-00002D000000}"/>
            </a:ext>
          </a:extLst>
        </xdr:cNvPr>
        <xdr:cNvPicPr>
          <a:picLocks noChangeAspect="1"/>
        </xdr:cNvPicPr>
      </xdr:nvPicPr>
      <xdr:blipFill>
        <a:blip xmlns:r="http://schemas.openxmlformats.org/officeDocument/2006/relationships" r:embed="rId10" cstate="print"/>
        <a:stretch>
          <a:fillRect/>
        </a:stretch>
      </xdr:blipFill>
      <xdr:spPr>
        <a:xfrm>
          <a:off x="3973286" y="3053140"/>
          <a:ext cx="2830286" cy="784074"/>
        </a:xfrm>
        <a:prstGeom prst="rect">
          <a:avLst/>
        </a:prstGeom>
      </xdr:spPr>
    </xdr:pic>
    <xdr:clientData/>
  </xdr:twoCellAnchor>
  <xdr:twoCellAnchor>
    <xdr:from>
      <xdr:col>1</xdr:col>
      <xdr:colOff>149678</xdr:colOff>
      <xdr:row>67</xdr:row>
      <xdr:rowOff>149678</xdr:rowOff>
    </xdr:from>
    <xdr:to>
      <xdr:col>3</xdr:col>
      <xdr:colOff>27214</xdr:colOff>
      <xdr:row>69</xdr:row>
      <xdr:rowOff>0</xdr:rowOff>
    </xdr:to>
    <xdr:sp macro="" textlink="">
      <xdr:nvSpPr>
        <xdr:cNvPr id="55" name="矩形 54">
          <a:extLst>
            <a:ext uri="{FF2B5EF4-FFF2-40B4-BE49-F238E27FC236}">
              <a16:creationId xmlns:a16="http://schemas.microsoft.com/office/drawing/2014/main" id="{00000000-0008-0000-0600-000037000000}"/>
            </a:ext>
          </a:extLst>
        </xdr:cNvPr>
        <xdr:cNvSpPr/>
      </xdr:nvSpPr>
      <xdr:spPr>
        <a:xfrm>
          <a:off x="775607" y="12681857"/>
          <a:ext cx="1047750" cy="204107"/>
        </a:xfrm>
        <a:prstGeom prst="rect">
          <a:avLst/>
        </a:prstGeom>
      </xdr:spPr>
      <xdr:style>
        <a:lnRef idx="2">
          <a:schemeClr val="accent6">
            <a:shade val="50000"/>
          </a:schemeClr>
        </a:lnRef>
        <a:fillRef idx="1">
          <a:schemeClr val="accent6"/>
        </a:fillRef>
        <a:effectRef idx="0">
          <a:schemeClr val="accent6"/>
        </a:effectRef>
        <a:fontRef idx="minor">
          <a:schemeClr val="lt1"/>
        </a:fontRef>
      </xdr:style>
      <xdr:txBody>
        <a:bodyPr rtlCol="0" anchor="ctr"/>
        <a:lstStyle/>
        <a:p>
          <a:pPr algn="ctr"/>
          <a:endParaRPr lang="zh-CN" altLang="en-US" sz="1100"/>
        </a:p>
      </xdr:txBody>
    </xdr:sp>
    <xdr:clientData/>
  </xdr:twoCellAnchor>
  <xdr:twoCellAnchor>
    <xdr:from>
      <xdr:col>1</xdr:col>
      <xdr:colOff>149678</xdr:colOff>
      <xdr:row>69</xdr:row>
      <xdr:rowOff>54429</xdr:rowOff>
    </xdr:from>
    <xdr:to>
      <xdr:col>3</xdr:col>
      <xdr:colOff>27214</xdr:colOff>
      <xdr:row>70</xdr:row>
      <xdr:rowOff>95250</xdr:rowOff>
    </xdr:to>
    <xdr:sp macro="" textlink="">
      <xdr:nvSpPr>
        <xdr:cNvPr id="60" name="矩形 59">
          <a:extLst>
            <a:ext uri="{FF2B5EF4-FFF2-40B4-BE49-F238E27FC236}">
              <a16:creationId xmlns:a16="http://schemas.microsoft.com/office/drawing/2014/main" id="{00000000-0008-0000-0600-00003C000000}"/>
            </a:ext>
          </a:extLst>
        </xdr:cNvPr>
        <xdr:cNvSpPr/>
      </xdr:nvSpPr>
      <xdr:spPr>
        <a:xfrm>
          <a:off x="775607" y="12940393"/>
          <a:ext cx="1047750" cy="217714"/>
        </a:xfrm>
        <a:prstGeom prst="rect">
          <a:avLst/>
        </a:prstGeom>
      </xdr:spPr>
      <xdr:style>
        <a:lnRef idx="2">
          <a:schemeClr val="accent3">
            <a:shade val="50000"/>
          </a:schemeClr>
        </a:lnRef>
        <a:fillRef idx="1">
          <a:schemeClr val="accent3"/>
        </a:fillRef>
        <a:effectRef idx="0">
          <a:schemeClr val="accent3"/>
        </a:effectRef>
        <a:fontRef idx="minor">
          <a:schemeClr val="lt1"/>
        </a:fontRef>
      </xdr:style>
      <xdr:txBody>
        <a:bodyPr rtlCol="0" anchor="ctr"/>
        <a:lstStyle/>
        <a:p>
          <a:pPr algn="ctr"/>
          <a:endParaRPr lang="zh-CN" altLang="en-US" sz="1100"/>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16</xdr:col>
      <xdr:colOff>552450</xdr:colOff>
      <xdr:row>20</xdr:row>
      <xdr:rowOff>138112</xdr:rowOff>
    </xdr:from>
    <xdr:to>
      <xdr:col>23</xdr:col>
      <xdr:colOff>323850</xdr:colOff>
      <xdr:row>36</xdr:row>
      <xdr:rowOff>138112</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479425</xdr:colOff>
      <xdr:row>3</xdr:row>
      <xdr:rowOff>149225</xdr:rowOff>
    </xdr:from>
    <xdr:to>
      <xdr:col>22</xdr:col>
      <xdr:colOff>174625</xdr:colOff>
      <xdr:row>19</xdr:row>
      <xdr:rowOff>47625</xdr:rowOff>
    </xdr:to>
    <xdr:graphicFrame macro="">
      <xdr:nvGraphicFramePr>
        <xdr:cNvPr id="3" name="图表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47" xr6:uid="{00000000-000C-0000-FFFF-FFFF00000000}" r="B6" connectionId="3">
    <xmlCellPr id="1" xr6:uid="{00000000-0010-0000-0000-000001000000}" uniqueName="Z0">
      <xmlPr mapId="6" xpath="/IDBmodelinfo/Lake/Z0" xmlDataType="integer"/>
    </xmlCellPr>
  </singleXmlCell>
  <singleXmlCell id="48" xr6:uid="{00000000-000C-0000-FFFF-FFFF01000000}" r="B7" connectionId="3">
    <xmlCellPr id="1" xr6:uid="{00000000-0010-0000-0100-000001000000}" uniqueName="Qin">
      <xmlPr mapId="6" xpath="/IDBmodelinfo/Lake/Qin" xmlDataType="double"/>
    </xmlCellPr>
  </singleXmlCell>
  <singleXmlCell id="49" xr6:uid="{00000000-000C-0000-FFFF-FFFF02000000}" r="B8" connectionId="3">
    <xmlCellPr id="1" xr6:uid="{00000000-0010-0000-0200-000001000000}" uniqueName="Hr">
      <xmlPr mapId="6" xpath="/IDBmodelinfo/Lake/Hr" xmlDataType="integer"/>
    </xmlCellPr>
  </singleXmlCell>
  <singleXmlCell id="50" xr6:uid="{00000000-000C-0000-FFFF-FFFF03000000}" r="B11" connectionId="3">
    <xmlCellPr id="1" xr6:uid="{00000000-0010-0000-0300-000001000000}" uniqueName="p1">
      <xmlPr mapId="6" xpath="/IDBmodelinfo/Lake/p1" xmlDataType="integer"/>
    </xmlCellPr>
  </singleXmlCell>
  <singleXmlCell id="51" xr6:uid="{00000000-000C-0000-FFFF-FFFF04000000}" r="B12" connectionId="3">
    <xmlCellPr id="1" xr6:uid="{00000000-0010-0000-0400-000001000000}" uniqueName="p2">
      <xmlPr mapId="6" xpath="/IDBmodelinfo/Lake/p2" xmlDataType="double"/>
    </xmlCellPr>
  </singleXmlCell>
  <singleXmlCell id="52" xr6:uid="{00000000-000C-0000-FFFF-FFFF05000000}" r="B13" connectionId="3">
    <xmlCellPr id="1" xr6:uid="{00000000-0010-0000-0500-000001000000}" uniqueName="p3">
      <xmlPr mapId="6" xpath="/IDBmodelinfo/Lake/p3" xmlDataType="integer"/>
    </xmlCellPr>
  </singleXmlCell>
  <singleXmlCell id="53" xr6:uid="{00000000-000C-0000-FFFF-FFFF06000000}" r="H7" connectionId="3">
    <xmlCellPr id="1" xr6:uid="{00000000-0010-0000-0600-000001000000}" uniqueName="h0">
      <xmlPr mapId="6" xpath="/IDBmodelinfo/Lake/h0" xmlDataType="integer"/>
    </xmlCellPr>
  </singleXmlCell>
  <singleXmlCell id="54" xr6:uid="{00000000-000C-0000-FFFF-FFFF07000000}" r="H8" connectionId="3">
    <xmlCellPr id="1" xr6:uid="{00000000-0010-0000-0700-000001000000}" uniqueName="b0">
      <xmlPr mapId="6" xpath="/IDBmodelinfo/Lake/b0" xmlDataType="double"/>
    </xmlCellPr>
  </singleXmlCell>
  <singleXmlCell id="55" xr6:uid="{00000000-000C-0000-FFFF-FFFF08000000}" r="B22" connectionId="3">
    <xmlCellPr id="1" xr6:uid="{00000000-0010-0000-0800-000001000000}" uniqueName="vc">
      <xmlPr mapId="6" xpath="/IDBmodelinfo/Erosion/vc" xmlDataType="integer"/>
    </xmlCellPr>
  </singleXmlCell>
  <singleXmlCell id="56" xr6:uid="{00000000-000C-0000-FFFF-FFFF09000000}" r="B23" connectionId="3">
    <xmlCellPr id="1" xr6:uid="{00000000-0010-0000-0900-000001000000}" uniqueName="a">
      <xmlPr mapId="6" xpath="/IDBmodelinfo/Erosion/a" xmlDataType="double"/>
    </xmlCellPr>
  </singleXmlCell>
  <singleXmlCell id="57" xr6:uid="{00000000-000C-0000-FFFF-FFFF0A000000}" r="B24" connectionId="3">
    <xmlCellPr id="1" xr6:uid="{00000000-0010-0000-0A00-000001000000}" uniqueName="b">
      <xmlPr mapId="6" xpath="/IDBmodelinfo/Erosion/b" xmlDataType="integer"/>
    </xmlCellPr>
  </singleXmlCell>
  <singleXmlCell id="58" xr6:uid="{00000000-000C-0000-FFFF-FFFF0B000000}" r="B25" connectionId="3">
    <xmlCellPr id="1" xr6:uid="{00000000-0010-0000-0B00-000001000000}" uniqueName="tc">
      <xmlPr mapId="6" xpath="/IDBmodelinfo/Erosion/tc" xmlDataType="integer"/>
    </xmlCellPr>
  </singleXmlCell>
  <singleXmlCell id="59" xr6:uid="{00000000-000C-0000-FFFF-FFFF0C000000}" r="B17" connectionId="3">
    <xmlCellPr id="1" xr6:uid="{00000000-0010-0000-0C00-000001000000}" uniqueName="mq">
      <xmlPr mapId="6" xpath="/IDBmodelinfo/Erosion/mq" xmlDataType="double"/>
    </xmlCellPr>
  </singleXmlCell>
  <singleXmlCell id="60" xr6:uid="{00000000-000C-0000-FFFF-FFFF0D000000}" r="B18" connectionId="3">
    <xmlCellPr id="1" xr6:uid="{00000000-0010-0000-0D00-000001000000}" uniqueName="mb">
      <xmlPr mapId="6" xpath="/IDBmodelinfo/Erosion/mb" xmlDataType="integer"/>
    </xmlCellPr>
  </singleXmlCell>
  <singleXmlCell id="61" xr6:uid="{00000000-000C-0000-FFFF-FFFF0E000000}" r="B19" connectionId="3">
    <xmlCellPr id="1" xr6:uid="{00000000-0010-0000-0E00-000001000000}" uniqueName="m">
      <xmlPr mapId="6" xpath="/IDBmodelinfo/Erosion/m" xmlDataType="integer"/>
    </xmlCellPr>
  </singleXmlCell>
  <singleXmlCell id="62" xr6:uid="{00000000-000C-0000-FFFF-FFFF0F000000}" r="H10" connectionId="3">
    <xmlCellPr id="1" xr6:uid="{00000000-0010-0000-0F00-000001000000}" uniqueName="Coh">
      <xmlPr mapId="6" xpath="/IDBmodelinfo/Enlarge/Coh" xmlDataType="integer"/>
    </xmlCellPr>
  </singleXmlCell>
  <singleXmlCell id="63" xr6:uid="{00000000-000C-0000-FFFF-FFFF10000000}" r="H11" connectionId="3">
    <xmlCellPr id="1" xr6:uid="{00000000-0010-0000-1000-000001000000}" uniqueName="fai">
      <xmlPr mapId="6" xpath="/IDBmodelinfo/Enlarge/fai" xmlDataType="double"/>
    </xmlCellPr>
  </singleXmlCell>
  <singleXmlCell id="64" xr6:uid="{00000000-000C-0000-FFFF-FFFF11000000}" r="H12" connectionId="3">
    <xmlCellPr id="1" xr6:uid="{00000000-0010-0000-1100-000001000000}" uniqueName="gamma">
      <xmlPr mapId="6" xpath="/IDBmodelinfo/Enlarge/gamma" xmlDataType="integer"/>
    </xmlCellPr>
  </singleXmlCell>
  <singleXmlCell id="65" xr6:uid="{00000000-000C-0000-FFFF-FFFF12000000}" r="H13" connectionId="3">
    <xmlCellPr id="1" xr6:uid="{00000000-0010-0000-1200-000001000000}" uniqueName="beta1">
      <xmlPr mapId="6" xpath="/IDBmodelinfo/Enlarge/beta1" xmlDataType="integer"/>
    </xmlCellPr>
  </singleXmlCell>
  <singleXmlCell id="66" xr6:uid="{00000000-000C-0000-FFFF-FFFF13000000}" r="K10" connectionId="3">
    <xmlCellPr id="1" xr6:uid="{00000000-0010-0000-1300-000001000000}" uniqueName="m1">
      <xmlPr mapId="6" xpath="/IDBmodelinfo/Enlarge/m1" xmlDataType="double"/>
    </xmlCellPr>
  </singleXmlCell>
  <singleXmlCell id="67" xr6:uid="{00000000-000C-0000-FFFF-FFFF14000000}" r="K11" connectionId="3">
    <xmlCellPr id="1" xr6:uid="{00000000-0010-0000-1400-000001000000}" uniqueName="m2">
      <xmlPr mapId="6" xpath="/IDBmodelinfo/Enlarge/m2" xmlDataType="integer"/>
    </xmlCellPr>
  </singleXmlCell>
  <singleXmlCell id="68" xr6:uid="{00000000-000C-0000-FFFF-FFFF15000000}" r="H15" connectionId="3">
    <xmlCellPr id="1" xr6:uid="{00000000-0010-0000-1500-000001000000}" uniqueName="d50">
      <xmlPr mapId="6" xpath="/IDBmodelinfo/Enlarge/d50" xmlDataType="integer"/>
    </xmlCellPr>
  </singleXmlCell>
  <singleXmlCell id="69" xr6:uid="{00000000-000C-0000-FFFF-FFFF16000000}" r="H16" connectionId="3">
    <xmlCellPr id="1" xr6:uid="{00000000-0010-0000-1600-000001000000}" uniqueName="density">
      <xmlPr mapId="6" xpath="/IDBmodelinfo/Enlarge/density" xmlDataType="integer"/>
    </xmlCellPr>
  </singleXmlCell>
  <singleXmlCell id="70" xr6:uid="{00000000-000C-0000-FFFF-FFFF17000000}" r="H17" connectionId="3">
    <xmlCellPr id="1" xr6:uid="{00000000-0010-0000-1700-000001000000}" uniqueName="voidratio">
      <xmlPr mapId="6" xpath="/IDBmodelinfo/Enlarge/voidratio" xmlDataType="integer"/>
    </xmlCellPr>
  </singleXmlCell>
  <singleXmlCell id="71" xr6:uid="{00000000-000C-0000-FFFF-FFFF18000000}" r="H18" connectionId="3">
    <xmlCellPr id="1" xr6:uid="{00000000-0010-0000-1800-000001000000}" uniqueName="Gs">
      <xmlPr mapId="6" xpath="/IDBmodelinfo/Enlarge/Gs" xmlDataType="integer"/>
    </xmlCellPr>
  </singleXmlCell>
  <singleXmlCell id="72" xr6:uid="{00000000-000C-0000-FFFF-FFFF19000000}" r="H19" connectionId="3">
    <xmlCellPr id="1" xr6:uid="{00000000-0010-0000-1900-000001000000}" uniqueName="Len">
      <xmlPr mapId="6" xpath="/IDBmodelinfo/Enlarge/Len" xmlDataType="double"/>
    </xmlCellPr>
  </singleXmlCell>
  <singleXmlCell id="73" xr6:uid="{00000000-000C-0000-FFFF-FFFF1A000000}" r="H20" connectionId="3">
    <xmlCellPr id="1" xr6:uid="{00000000-0010-0000-1A00-000001000000}" uniqueName="roughness">
      <xmlPr mapId="6" xpath="/IDBmodelinfo/Enlarge/roughness" xmlDataType="integer"/>
    </xmlCellPr>
  </singleXmlCell>
</singleXmlCells>
</file>

<file path=xl/theme/theme1.xml><?xml version="1.0" encoding="utf-8"?>
<a:theme xmlns:a="http://schemas.openxmlformats.org/drawingml/2006/main" name="Office 主题">
  <a:themeElements>
    <a:clrScheme name="沉稳">
      <a:dk1>
        <a:sysClr val="windowText" lastClr="000000"/>
      </a:dk1>
      <a:lt1>
        <a:sysClr val="window" lastClr="FFFFFF"/>
      </a:lt1>
      <a:dk2>
        <a:srgbClr val="676A55"/>
      </a:dk2>
      <a:lt2>
        <a:srgbClr val="EAEBDE"/>
      </a:lt2>
      <a:accent1>
        <a:srgbClr val="72A376"/>
      </a:accent1>
      <a:accent2>
        <a:srgbClr val="B0CCB0"/>
      </a:accent2>
      <a:accent3>
        <a:srgbClr val="A8CDD7"/>
      </a:accent3>
      <a:accent4>
        <a:srgbClr val="C0BEAF"/>
      </a:accent4>
      <a:accent5>
        <a:srgbClr val="CEC597"/>
      </a:accent5>
      <a:accent6>
        <a:srgbClr val="E8B7B7"/>
      </a:accent6>
      <a:hlink>
        <a:srgbClr val="DB5353"/>
      </a:hlink>
      <a:folHlink>
        <a:srgbClr val="903638"/>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18" Type="http://schemas.openxmlformats.org/officeDocument/2006/relationships/ctrlProp" Target="../ctrlProps/ctrlProp16.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17" Type="http://schemas.openxmlformats.org/officeDocument/2006/relationships/ctrlProp" Target="../ctrlProps/ctrlProp15.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9.xml"/><Relationship Id="rId13" Type="http://schemas.openxmlformats.org/officeDocument/2006/relationships/ctrlProp" Target="../ctrlProps/ctrlProp24.xml"/><Relationship Id="rId18" Type="http://schemas.openxmlformats.org/officeDocument/2006/relationships/ctrlProp" Target="../ctrlProps/ctrlProp29.xml"/><Relationship Id="rId26" Type="http://schemas.openxmlformats.org/officeDocument/2006/relationships/ctrlProp" Target="../ctrlProps/ctrlProp37.xml"/><Relationship Id="rId3" Type="http://schemas.openxmlformats.org/officeDocument/2006/relationships/vmlDrawing" Target="../drawings/vmlDrawing2.vml"/><Relationship Id="rId21" Type="http://schemas.openxmlformats.org/officeDocument/2006/relationships/ctrlProp" Target="../ctrlProps/ctrlProp32.xml"/><Relationship Id="rId7" Type="http://schemas.openxmlformats.org/officeDocument/2006/relationships/ctrlProp" Target="../ctrlProps/ctrlProp18.xml"/><Relationship Id="rId12" Type="http://schemas.openxmlformats.org/officeDocument/2006/relationships/ctrlProp" Target="../ctrlProps/ctrlProp23.xml"/><Relationship Id="rId17" Type="http://schemas.openxmlformats.org/officeDocument/2006/relationships/ctrlProp" Target="../ctrlProps/ctrlProp28.xml"/><Relationship Id="rId25" Type="http://schemas.openxmlformats.org/officeDocument/2006/relationships/ctrlProp" Target="../ctrlProps/ctrlProp36.xml"/><Relationship Id="rId2" Type="http://schemas.openxmlformats.org/officeDocument/2006/relationships/drawing" Target="../drawings/drawing2.xml"/><Relationship Id="rId16" Type="http://schemas.openxmlformats.org/officeDocument/2006/relationships/ctrlProp" Target="../ctrlProps/ctrlProp27.xml"/><Relationship Id="rId20" Type="http://schemas.openxmlformats.org/officeDocument/2006/relationships/ctrlProp" Target="../ctrlProps/ctrlProp31.xml"/><Relationship Id="rId1" Type="http://schemas.openxmlformats.org/officeDocument/2006/relationships/printerSettings" Target="../printerSettings/printerSettings1.bin"/><Relationship Id="rId6" Type="http://schemas.openxmlformats.org/officeDocument/2006/relationships/ctrlProp" Target="../ctrlProps/ctrlProp17.xml"/><Relationship Id="rId11" Type="http://schemas.openxmlformats.org/officeDocument/2006/relationships/ctrlProp" Target="../ctrlProps/ctrlProp22.xml"/><Relationship Id="rId24" Type="http://schemas.openxmlformats.org/officeDocument/2006/relationships/ctrlProp" Target="../ctrlProps/ctrlProp35.xml"/><Relationship Id="rId5" Type="http://schemas.openxmlformats.org/officeDocument/2006/relationships/image" Target="../media/image2.emf"/><Relationship Id="rId15" Type="http://schemas.openxmlformats.org/officeDocument/2006/relationships/ctrlProp" Target="../ctrlProps/ctrlProp26.xml"/><Relationship Id="rId23" Type="http://schemas.openxmlformats.org/officeDocument/2006/relationships/ctrlProp" Target="../ctrlProps/ctrlProp34.xml"/><Relationship Id="rId10" Type="http://schemas.openxmlformats.org/officeDocument/2006/relationships/ctrlProp" Target="../ctrlProps/ctrlProp21.xml"/><Relationship Id="rId19" Type="http://schemas.openxmlformats.org/officeDocument/2006/relationships/ctrlProp" Target="../ctrlProps/ctrlProp30.xml"/><Relationship Id="rId4" Type="http://schemas.openxmlformats.org/officeDocument/2006/relationships/control" Target="../activeX/activeX1.xml"/><Relationship Id="rId9" Type="http://schemas.openxmlformats.org/officeDocument/2006/relationships/ctrlProp" Target="../ctrlProps/ctrlProp20.xml"/><Relationship Id="rId14" Type="http://schemas.openxmlformats.org/officeDocument/2006/relationships/ctrlProp" Target="../ctrlProps/ctrlProp25.xml"/><Relationship Id="rId22" Type="http://schemas.openxmlformats.org/officeDocument/2006/relationships/ctrlProp" Target="../ctrlProps/ctrlProp33.xml"/><Relationship Id="rId27" Type="http://schemas.openxmlformats.org/officeDocument/2006/relationships/tableSingleCells" Target="../tables/tableSingleCell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2.xml"/><Relationship Id="rId3" Type="http://schemas.openxmlformats.org/officeDocument/2006/relationships/vmlDrawing" Target="../drawings/vmlDrawing3.vml"/><Relationship Id="rId7" Type="http://schemas.openxmlformats.org/officeDocument/2006/relationships/ctrlProp" Target="../ctrlProps/ctrlProp41.xml"/><Relationship Id="rId2" Type="http://schemas.openxmlformats.org/officeDocument/2006/relationships/drawing" Target="../drawings/drawing5.xml"/><Relationship Id="rId1" Type="http://schemas.openxmlformats.org/officeDocument/2006/relationships/printerSettings" Target="../printerSettings/printerSettings2.bin"/><Relationship Id="rId6" Type="http://schemas.openxmlformats.org/officeDocument/2006/relationships/ctrlProp" Target="../ctrlProps/ctrlProp40.xml"/><Relationship Id="rId5" Type="http://schemas.openxmlformats.org/officeDocument/2006/relationships/ctrlProp" Target="../ctrlProps/ctrlProp39.xml"/><Relationship Id="rId4" Type="http://schemas.openxmlformats.org/officeDocument/2006/relationships/ctrlProp" Target="../ctrlProps/ctrlProp38.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47.xml"/><Relationship Id="rId3" Type="http://schemas.openxmlformats.org/officeDocument/2006/relationships/vmlDrawing" Target="../drawings/vmlDrawing4.vml"/><Relationship Id="rId7" Type="http://schemas.openxmlformats.org/officeDocument/2006/relationships/ctrlProp" Target="../ctrlProps/ctrlProp46.xml"/><Relationship Id="rId2" Type="http://schemas.openxmlformats.org/officeDocument/2006/relationships/drawing" Target="../drawings/drawing7.xml"/><Relationship Id="rId1" Type="http://schemas.openxmlformats.org/officeDocument/2006/relationships/printerSettings" Target="../printerSettings/printerSettings3.bin"/><Relationship Id="rId6" Type="http://schemas.openxmlformats.org/officeDocument/2006/relationships/ctrlProp" Target="../ctrlProps/ctrlProp45.xml"/><Relationship Id="rId5" Type="http://schemas.openxmlformats.org/officeDocument/2006/relationships/ctrlProp" Target="../ctrlProps/ctrlProp44.xml"/><Relationship Id="rId4" Type="http://schemas.openxmlformats.org/officeDocument/2006/relationships/ctrlProp" Target="../ctrlProps/ctrlProp43.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48.xml"/><Relationship Id="rId7" Type="http://schemas.openxmlformats.org/officeDocument/2006/relationships/ctrlProp" Target="../ctrlProps/ctrlProp52.xml"/><Relationship Id="rId2" Type="http://schemas.openxmlformats.org/officeDocument/2006/relationships/vmlDrawing" Target="../drawings/vmlDrawing5.vml"/><Relationship Id="rId1" Type="http://schemas.openxmlformats.org/officeDocument/2006/relationships/drawing" Target="../drawings/drawing8.xml"/><Relationship Id="rId6" Type="http://schemas.openxmlformats.org/officeDocument/2006/relationships/ctrlProp" Target="../ctrlProps/ctrlProp51.xml"/><Relationship Id="rId5" Type="http://schemas.openxmlformats.org/officeDocument/2006/relationships/ctrlProp" Target="../ctrlProps/ctrlProp50.xml"/><Relationship Id="rId4" Type="http://schemas.openxmlformats.org/officeDocument/2006/relationships/ctrlProp" Target="../ctrlProps/ctrlProp49.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56.xml"/><Relationship Id="rId13" Type="http://schemas.openxmlformats.org/officeDocument/2006/relationships/ctrlProp" Target="../ctrlProps/ctrlProp61.xml"/><Relationship Id="rId18" Type="http://schemas.openxmlformats.org/officeDocument/2006/relationships/ctrlProp" Target="../ctrlProps/ctrlProp66.xml"/><Relationship Id="rId3" Type="http://schemas.openxmlformats.org/officeDocument/2006/relationships/oleObject" Target="../embeddings/oleObject1.bin"/><Relationship Id="rId21" Type="http://schemas.openxmlformats.org/officeDocument/2006/relationships/ctrlProp" Target="../ctrlProps/ctrlProp69.xml"/><Relationship Id="rId7" Type="http://schemas.openxmlformats.org/officeDocument/2006/relationships/ctrlProp" Target="../ctrlProps/ctrlProp55.xml"/><Relationship Id="rId12" Type="http://schemas.openxmlformats.org/officeDocument/2006/relationships/ctrlProp" Target="../ctrlProps/ctrlProp60.xml"/><Relationship Id="rId17" Type="http://schemas.openxmlformats.org/officeDocument/2006/relationships/ctrlProp" Target="../ctrlProps/ctrlProp65.xml"/><Relationship Id="rId2" Type="http://schemas.openxmlformats.org/officeDocument/2006/relationships/vmlDrawing" Target="../drawings/vmlDrawing6.vml"/><Relationship Id="rId16" Type="http://schemas.openxmlformats.org/officeDocument/2006/relationships/ctrlProp" Target="../ctrlProps/ctrlProp64.xml"/><Relationship Id="rId20" Type="http://schemas.openxmlformats.org/officeDocument/2006/relationships/ctrlProp" Target="../ctrlProps/ctrlProp68.xml"/><Relationship Id="rId1" Type="http://schemas.openxmlformats.org/officeDocument/2006/relationships/drawing" Target="../drawings/drawing11.xml"/><Relationship Id="rId6" Type="http://schemas.openxmlformats.org/officeDocument/2006/relationships/ctrlProp" Target="../ctrlProps/ctrlProp54.xml"/><Relationship Id="rId11" Type="http://schemas.openxmlformats.org/officeDocument/2006/relationships/ctrlProp" Target="../ctrlProps/ctrlProp59.xml"/><Relationship Id="rId5" Type="http://schemas.openxmlformats.org/officeDocument/2006/relationships/ctrlProp" Target="../ctrlProps/ctrlProp53.xml"/><Relationship Id="rId15" Type="http://schemas.openxmlformats.org/officeDocument/2006/relationships/ctrlProp" Target="../ctrlProps/ctrlProp63.xml"/><Relationship Id="rId10" Type="http://schemas.openxmlformats.org/officeDocument/2006/relationships/ctrlProp" Target="../ctrlProps/ctrlProp58.xml"/><Relationship Id="rId19" Type="http://schemas.openxmlformats.org/officeDocument/2006/relationships/ctrlProp" Target="../ctrlProps/ctrlProp67.xml"/><Relationship Id="rId4" Type="http://schemas.openxmlformats.org/officeDocument/2006/relationships/image" Target="../media/image8.emf"/><Relationship Id="rId9" Type="http://schemas.openxmlformats.org/officeDocument/2006/relationships/ctrlProp" Target="../ctrlProps/ctrlProp57.xml"/><Relationship Id="rId14" Type="http://schemas.openxmlformats.org/officeDocument/2006/relationships/ctrlProp" Target="../ctrlProps/ctrlProp62.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P34"/>
  <sheetViews>
    <sheetView topLeftCell="A8" workbookViewId="0">
      <selection activeCell="G26" sqref="G26"/>
    </sheetView>
  </sheetViews>
  <sheetFormatPr defaultRowHeight="14.4" x14ac:dyDescent="0.25"/>
  <cols>
    <col min="10" max="10" width="11.109375" customWidth="1"/>
    <col min="12" max="12" width="11" customWidth="1"/>
    <col min="13" max="13" width="13" customWidth="1"/>
    <col min="14" max="14" width="12" customWidth="1"/>
    <col min="15" max="15" width="13.44140625" customWidth="1"/>
  </cols>
  <sheetData>
    <row r="1" spans="1:16" ht="37.5" customHeight="1" x14ac:dyDescent="0.25">
      <c r="A1" s="416" t="s">
        <v>334</v>
      </c>
      <c r="B1" s="416"/>
      <c r="C1" s="416"/>
      <c r="D1" s="416"/>
      <c r="E1" s="416"/>
      <c r="F1" s="416"/>
      <c r="G1" s="416"/>
      <c r="H1" s="416"/>
      <c r="I1" s="416"/>
      <c r="J1" s="416"/>
      <c r="K1" s="416"/>
      <c r="L1" s="416"/>
      <c r="M1" s="416"/>
      <c r="N1" s="416"/>
      <c r="O1" s="419" t="s">
        <v>337</v>
      </c>
      <c r="P1" s="419"/>
    </row>
    <row r="2" spans="1:16" ht="27.75" customHeight="1" x14ac:dyDescent="0.25">
      <c r="A2" s="417" t="s">
        <v>335</v>
      </c>
      <c r="B2" s="417"/>
      <c r="C2" s="417"/>
      <c r="D2" s="417"/>
      <c r="E2" s="417"/>
      <c r="F2" s="417"/>
      <c r="G2" s="417"/>
      <c r="H2" s="417"/>
      <c r="I2" s="417"/>
      <c r="J2" s="417"/>
      <c r="K2" s="417"/>
      <c r="L2" s="417"/>
      <c r="M2" s="417"/>
      <c r="N2" s="417"/>
      <c r="O2" s="1">
        <v>0</v>
      </c>
      <c r="P2" s="1"/>
    </row>
    <row r="3" spans="1:16" ht="30.75" customHeight="1" x14ac:dyDescent="0.25">
      <c r="A3" s="418" t="s">
        <v>336</v>
      </c>
      <c r="B3" s="418"/>
      <c r="C3" s="418"/>
      <c r="D3" s="418"/>
      <c r="E3" s="418"/>
      <c r="F3" s="418"/>
      <c r="G3" s="418"/>
      <c r="H3" s="418"/>
      <c r="I3" s="418"/>
      <c r="J3" s="418"/>
      <c r="K3" s="418"/>
      <c r="L3" s="418"/>
      <c r="M3" s="418"/>
      <c r="N3" s="418"/>
      <c r="O3" s="1"/>
      <c r="P3" s="1"/>
    </row>
    <row r="4" spans="1:16" ht="3" hidden="1" customHeight="1" x14ac:dyDescent="0.25">
      <c r="A4" s="375" t="s">
        <v>339</v>
      </c>
      <c r="B4" s="379"/>
      <c r="C4" s="375" t="s">
        <v>340</v>
      </c>
      <c r="D4" s="379"/>
      <c r="E4" s="375" t="s">
        <v>341</v>
      </c>
      <c r="F4" s="379"/>
      <c r="G4" s="375" t="s">
        <v>342</v>
      </c>
      <c r="H4" s="379"/>
      <c r="I4" s="375" t="s">
        <v>343</v>
      </c>
      <c r="J4" s="379"/>
      <c r="K4" s="375" t="s">
        <v>344</v>
      </c>
      <c r="L4" s="415"/>
      <c r="M4" s="415"/>
      <c r="N4" s="415"/>
      <c r="O4" s="415"/>
      <c r="P4" s="415"/>
    </row>
    <row r="5" spans="1:16" ht="15" customHeight="1" x14ac:dyDescent="0.25">
      <c r="A5" s="413" t="s">
        <v>338</v>
      </c>
      <c r="B5" s="413"/>
      <c r="C5" s="413"/>
      <c r="D5" s="413"/>
      <c r="E5" s="413"/>
      <c r="F5" s="413"/>
      <c r="G5" s="413"/>
      <c r="H5" s="413"/>
      <c r="I5" s="413"/>
      <c r="J5" s="413"/>
      <c r="K5" s="413"/>
      <c r="L5" s="413"/>
      <c r="M5" s="413"/>
      <c r="N5" s="413"/>
      <c r="O5" s="413"/>
      <c r="P5" s="371"/>
    </row>
    <row r="6" spans="1:16" ht="15" customHeight="1" x14ac:dyDescent="0.25">
      <c r="A6" s="413"/>
      <c r="B6" s="413"/>
      <c r="C6" s="413"/>
      <c r="D6" s="413"/>
      <c r="E6" s="413"/>
      <c r="F6" s="413"/>
      <c r="G6" s="413"/>
      <c r="H6" s="413"/>
      <c r="I6" s="413"/>
      <c r="J6" s="413"/>
      <c r="K6" s="413"/>
      <c r="L6" s="413"/>
      <c r="M6" s="413"/>
      <c r="N6" s="413"/>
      <c r="O6" s="413"/>
      <c r="P6" s="371"/>
    </row>
    <row r="7" spans="1:16" ht="15" customHeight="1" x14ac:dyDescent="0.25">
      <c r="A7" s="245"/>
      <c r="B7" s="245"/>
      <c r="C7" s="245"/>
      <c r="D7" s="245"/>
      <c r="E7" s="14"/>
      <c r="F7" s="14"/>
      <c r="G7" s="14"/>
      <c r="H7" s="14"/>
      <c r="I7" s="74"/>
      <c r="J7" s="74"/>
      <c r="K7" s="74"/>
      <c r="L7" s="74"/>
      <c r="M7" s="74"/>
      <c r="N7" s="118"/>
      <c r="O7" s="14"/>
      <c r="P7" s="14"/>
    </row>
    <row r="8" spans="1:16" ht="15" customHeight="1" x14ac:dyDescent="0.25">
      <c r="A8" s="252" t="s">
        <v>274</v>
      </c>
      <c r="B8" s="382">
        <v>1497.65</v>
      </c>
      <c r="C8" s="365" t="s">
        <v>345</v>
      </c>
      <c r="D8" s="356"/>
      <c r="E8" s="14"/>
      <c r="F8" s="14"/>
      <c r="G8" s="14"/>
      <c r="H8" s="14"/>
      <c r="I8" s="255" t="s">
        <v>232</v>
      </c>
      <c r="J8" s="407">
        <v>0.36</v>
      </c>
      <c r="K8" s="365" t="s">
        <v>352</v>
      </c>
      <c r="L8" s="244"/>
      <c r="M8" s="244"/>
      <c r="N8" s="414" t="s">
        <v>356</v>
      </c>
      <c r="O8" s="414"/>
      <c r="P8" s="14"/>
    </row>
    <row r="9" spans="1:16" ht="15" customHeight="1" x14ac:dyDescent="0.25">
      <c r="A9" s="252" t="s">
        <v>283</v>
      </c>
      <c r="B9" s="357">
        <v>1848</v>
      </c>
      <c r="C9" s="365" t="s">
        <v>346</v>
      </c>
      <c r="D9" s="356"/>
      <c r="E9" s="14"/>
      <c r="F9" s="14"/>
      <c r="G9" s="14"/>
      <c r="H9" s="14"/>
      <c r="I9" s="255" t="s">
        <v>233</v>
      </c>
      <c r="J9" s="408">
        <f>J10/4.427/0.36</f>
        <v>0.89727179178274741</v>
      </c>
      <c r="K9" s="365" t="s">
        <v>353</v>
      </c>
      <c r="L9" s="244"/>
      <c r="M9" s="244"/>
      <c r="N9" s="414"/>
      <c r="O9" s="414"/>
      <c r="P9" s="14"/>
    </row>
    <row r="10" spans="1:16" ht="15" customHeight="1" x14ac:dyDescent="0.25">
      <c r="A10" s="252" t="s">
        <v>275</v>
      </c>
      <c r="B10" s="357">
        <v>1477.55</v>
      </c>
      <c r="C10" s="365" t="s">
        <v>347</v>
      </c>
      <c r="D10" s="356"/>
      <c r="E10" s="14"/>
      <c r="F10" s="14"/>
      <c r="G10" s="14"/>
      <c r="H10" s="14"/>
      <c r="I10" s="372" t="s">
        <v>278</v>
      </c>
      <c r="J10" s="406">
        <v>1.43</v>
      </c>
      <c r="K10" s="374" t="s">
        <v>354</v>
      </c>
      <c r="L10" s="14"/>
      <c r="M10" s="244"/>
      <c r="N10" s="118"/>
      <c r="O10" s="14"/>
      <c r="P10" s="14"/>
    </row>
    <row r="11" spans="1:16" ht="15" customHeight="1" x14ac:dyDescent="0.25">
      <c r="A11" s="68"/>
      <c r="B11" s="358"/>
      <c r="C11" s="64"/>
      <c r="D11" s="64"/>
      <c r="E11" s="14"/>
      <c r="F11" s="14"/>
      <c r="G11" s="14"/>
      <c r="H11" s="14"/>
      <c r="I11" s="255" t="s">
        <v>48</v>
      </c>
      <c r="J11" s="376">
        <v>0.6</v>
      </c>
      <c r="K11" s="365" t="s">
        <v>355</v>
      </c>
      <c r="L11" s="244"/>
      <c r="M11" s="14"/>
      <c r="N11" s="14"/>
      <c r="O11" s="14"/>
      <c r="P11" s="361"/>
    </row>
    <row r="12" spans="1:16" ht="15" customHeight="1" x14ac:dyDescent="0.25">
      <c r="A12" s="64"/>
      <c r="B12" s="411"/>
      <c r="C12" s="411"/>
      <c r="D12" s="411"/>
      <c r="E12" s="411"/>
      <c r="F12" s="411"/>
      <c r="G12" s="64"/>
      <c r="H12" s="14"/>
      <c r="I12" s="64"/>
      <c r="J12" s="76"/>
      <c r="K12" s="67"/>
      <c r="L12" s="67"/>
      <c r="M12" s="64"/>
      <c r="N12" s="118"/>
      <c r="O12" s="14"/>
      <c r="P12" s="361"/>
    </row>
    <row r="13" spans="1:16" ht="15" customHeight="1" x14ac:dyDescent="0.25">
      <c r="A13" s="64"/>
      <c r="B13" s="298"/>
      <c r="C13" s="298"/>
      <c r="D13" s="298"/>
      <c r="E13" s="298"/>
      <c r="F13" s="298"/>
      <c r="G13" s="64"/>
      <c r="H13" s="14"/>
      <c r="I13" s="14"/>
      <c r="J13" s="14"/>
      <c r="K13" s="14"/>
      <c r="L13" s="300"/>
      <c r="M13" s="300"/>
      <c r="N13" s="118"/>
      <c r="O13" s="14"/>
      <c r="P13" s="361"/>
    </row>
    <row r="14" spans="1:16" ht="15" customHeight="1" x14ac:dyDescent="0.25">
      <c r="A14" s="252" t="s">
        <v>247</v>
      </c>
      <c r="B14" s="77">
        <v>1498.22</v>
      </c>
      <c r="C14" s="367" t="s">
        <v>348</v>
      </c>
      <c r="D14" s="64"/>
      <c r="E14" s="64"/>
      <c r="F14" s="64"/>
      <c r="G14" s="64"/>
      <c r="H14" s="14"/>
      <c r="I14" s="252" t="s">
        <v>276</v>
      </c>
      <c r="J14" s="363">
        <v>2.6</v>
      </c>
      <c r="K14" s="367" t="s">
        <v>357</v>
      </c>
      <c r="L14" s="300"/>
      <c r="M14" s="300"/>
      <c r="N14" s="300"/>
      <c r="O14" s="14"/>
      <c r="P14" s="361"/>
    </row>
    <row r="15" spans="1:16" ht="15" customHeight="1" x14ac:dyDescent="0.25">
      <c r="A15" s="252" t="s">
        <v>241</v>
      </c>
      <c r="B15" s="381">
        <v>1</v>
      </c>
      <c r="C15" s="366" t="s">
        <v>349</v>
      </c>
      <c r="D15" s="256"/>
      <c r="E15" s="256"/>
      <c r="F15" s="67"/>
      <c r="G15" s="67"/>
      <c r="H15" s="14"/>
      <c r="I15" s="252" t="s">
        <v>237</v>
      </c>
      <c r="J15" s="263">
        <v>1.1000000000000001</v>
      </c>
      <c r="K15" s="367" t="s">
        <v>358</v>
      </c>
      <c r="L15" s="300"/>
      <c r="M15" s="300"/>
      <c r="N15" s="300"/>
      <c r="O15" s="14"/>
      <c r="P15" s="14"/>
    </row>
    <row r="16" spans="1:16" ht="15" customHeight="1" x14ac:dyDescent="0.25">
      <c r="A16" s="252"/>
      <c r="B16" s="360"/>
      <c r="C16" s="355"/>
      <c r="D16" s="256"/>
      <c r="E16" s="256"/>
      <c r="F16" s="67"/>
      <c r="G16" s="67"/>
      <c r="H16" s="14"/>
      <c r="I16" s="252" t="s">
        <v>238</v>
      </c>
      <c r="J16" s="364">
        <v>3.8000000000000002E-4</v>
      </c>
      <c r="K16" s="367" t="s">
        <v>359</v>
      </c>
      <c r="L16" s="14"/>
      <c r="M16" s="14"/>
      <c r="N16" s="14"/>
      <c r="O16" s="14"/>
      <c r="P16" s="14"/>
    </row>
    <row r="17" spans="1:16" ht="15" customHeight="1" x14ac:dyDescent="0.25">
      <c r="A17" s="298"/>
      <c r="B17" s="298"/>
      <c r="C17" s="298"/>
      <c r="D17" s="298"/>
      <c r="E17" s="298"/>
      <c r="F17" s="118"/>
      <c r="G17" s="14"/>
      <c r="H17" s="14"/>
      <c r="I17" s="278"/>
      <c r="J17" s="279"/>
      <c r="K17" s="362"/>
      <c r="L17" s="248"/>
      <c r="M17" s="248"/>
      <c r="N17" s="246"/>
      <c r="O17" s="67"/>
      <c r="P17" s="14"/>
    </row>
    <row r="18" spans="1:16" ht="15" customHeight="1" x14ac:dyDescent="0.25">
      <c r="A18" s="409" t="s">
        <v>350</v>
      </c>
      <c r="B18" s="409"/>
      <c r="C18" s="252" t="s">
        <v>251</v>
      </c>
      <c r="D18" s="252" t="s">
        <v>252</v>
      </c>
      <c r="E18" s="252" t="s">
        <v>284</v>
      </c>
      <c r="F18" s="118"/>
      <c r="G18" s="14"/>
      <c r="H18" s="14"/>
      <c r="I18" s="301" t="s">
        <v>279</v>
      </c>
      <c r="J18" s="277">
        <v>0</v>
      </c>
      <c r="K18" s="368" t="s">
        <v>360</v>
      </c>
      <c r="L18" s="301"/>
      <c r="M18" s="344"/>
      <c r="N18" s="280"/>
      <c r="O18" s="67"/>
      <c r="P18" s="14"/>
    </row>
    <row r="19" spans="1:16" ht="15" customHeight="1" x14ac:dyDescent="0.25">
      <c r="A19" s="409"/>
      <c r="B19" s="409"/>
      <c r="C19" s="363">
        <v>1480.65</v>
      </c>
      <c r="D19" s="363">
        <v>1494.65</v>
      </c>
      <c r="E19" s="363">
        <v>1497.65</v>
      </c>
      <c r="F19" s="118"/>
      <c r="G19" s="14"/>
      <c r="H19" s="14"/>
      <c r="I19" s="380" t="s">
        <v>285</v>
      </c>
      <c r="J19" s="257">
        <v>38.799999999999997</v>
      </c>
      <c r="K19" s="369" t="s">
        <v>361</v>
      </c>
      <c r="L19" s="252"/>
      <c r="M19" s="345"/>
      <c r="N19" s="280"/>
      <c r="O19" s="67"/>
      <c r="P19" s="14"/>
    </row>
    <row r="20" spans="1:16" ht="15" customHeight="1" x14ac:dyDescent="0.25">
      <c r="A20" s="409" t="s">
        <v>351</v>
      </c>
      <c r="B20" s="410"/>
      <c r="C20" s="252" t="s">
        <v>259</v>
      </c>
      <c r="D20" s="252" t="s">
        <v>260</v>
      </c>
      <c r="E20" s="252" t="s">
        <v>261</v>
      </c>
      <c r="F20" s="118"/>
      <c r="G20" s="14"/>
      <c r="H20" s="361"/>
      <c r="I20" s="252" t="s">
        <v>271</v>
      </c>
      <c r="J20" s="262">
        <v>21.9</v>
      </c>
      <c r="K20" s="369" t="s">
        <v>362</v>
      </c>
      <c r="L20" s="252"/>
      <c r="M20" s="354"/>
      <c r="N20" s="351"/>
      <c r="O20" s="67"/>
      <c r="P20" s="14"/>
    </row>
    <row r="21" spans="1:16" ht="12" customHeight="1" x14ac:dyDescent="0.25">
      <c r="A21" s="410"/>
      <c r="B21" s="410"/>
      <c r="C21" s="363">
        <v>0.2858</v>
      </c>
      <c r="D21" s="363">
        <v>5.3708</v>
      </c>
      <c r="E21" s="363">
        <v>7.3217999999999996</v>
      </c>
      <c r="F21" s="118"/>
      <c r="G21" s="14"/>
      <c r="H21" s="361">
        <v>5</v>
      </c>
      <c r="I21" s="252" t="s">
        <v>280</v>
      </c>
      <c r="J21" s="353">
        <v>129</v>
      </c>
      <c r="K21" s="369" t="s">
        <v>363</v>
      </c>
      <c r="L21" s="248"/>
      <c r="M21" s="248"/>
      <c r="N21" s="247"/>
      <c r="O21" s="67"/>
      <c r="P21" s="14"/>
    </row>
    <row r="22" spans="1:16" ht="15" customHeight="1" x14ac:dyDescent="0.25">
      <c r="A22" s="359"/>
      <c r="B22" s="359"/>
      <c r="C22" s="359"/>
      <c r="D22" s="359"/>
      <c r="E22" s="359"/>
      <c r="F22" s="118"/>
      <c r="G22" s="14"/>
      <c r="H22" s="361"/>
      <c r="I22" s="118"/>
      <c r="J22" s="118"/>
      <c r="K22" s="118"/>
      <c r="L22" s="249"/>
      <c r="M22" s="249"/>
      <c r="N22" s="247"/>
      <c r="O22" s="67"/>
      <c r="P22" s="14"/>
    </row>
    <row r="23" spans="1:16" ht="15" customHeight="1" x14ac:dyDescent="0.25">
      <c r="A23" s="14"/>
      <c r="B23" s="14"/>
      <c r="C23" s="14"/>
      <c r="D23" s="14"/>
      <c r="E23" s="14"/>
      <c r="F23" s="14"/>
      <c r="G23" s="14"/>
      <c r="H23" s="14"/>
      <c r="I23" s="14"/>
      <c r="J23" s="14"/>
      <c r="K23" s="14"/>
      <c r="L23" s="14"/>
      <c r="M23" s="14"/>
      <c r="N23" s="14"/>
      <c r="O23" s="14"/>
      <c r="P23" s="14"/>
    </row>
    <row r="24" spans="1:16" ht="15" customHeight="1" x14ac:dyDescent="0.25">
      <c r="A24" s="14"/>
      <c r="B24" s="14"/>
      <c r="C24" s="14"/>
      <c r="D24" s="14"/>
      <c r="E24" s="14"/>
      <c r="F24" s="14"/>
      <c r="G24" s="14"/>
      <c r="H24" s="14"/>
      <c r="I24" s="14"/>
      <c r="J24" s="14"/>
      <c r="K24" s="14"/>
      <c r="L24" s="14"/>
      <c r="M24" s="14"/>
      <c r="N24" s="14"/>
      <c r="O24" s="14"/>
      <c r="P24" s="14"/>
    </row>
    <row r="25" spans="1:16" ht="15" customHeight="1" x14ac:dyDescent="0.25">
      <c r="A25" s="14"/>
      <c r="B25" s="14"/>
      <c r="C25" s="14"/>
      <c r="D25" s="14"/>
      <c r="E25" s="14"/>
      <c r="F25" s="14"/>
      <c r="G25" s="14"/>
      <c r="H25" s="14"/>
      <c r="I25" s="14"/>
      <c r="J25" s="14"/>
      <c r="K25" s="14"/>
      <c r="L25" s="14"/>
      <c r="M25" s="14"/>
      <c r="N25" s="14"/>
      <c r="O25" s="14"/>
      <c r="P25" s="14"/>
    </row>
    <row r="26" spans="1:16" ht="15" customHeight="1" x14ac:dyDescent="0.25">
      <c r="A26" s="14"/>
      <c r="B26" s="14"/>
      <c r="C26" s="14"/>
      <c r="D26" s="14"/>
      <c r="E26" s="14"/>
      <c r="F26" s="14"/>
      <c r="G26" s="14"/>
      <c r="H26" s="14"/>
      <c r="I26" s="14"/>
      <c r="J26" s="14"/>
      <c r="K26" s="14"/>
      <c r="L26" s="14"/>
      <c r="M26" s="14"/>
      <c r="N26" s="14"/>
      <c r="O26" s="14"/>
      <c r="P26" s="14"/>
    </row>
    <row r="27" spans="1:16" ht="15" customHeight="1" x14ac:dyDescent="0.25">
      <c r="A27" s="14"/>
      <c r="B27" s="14"/>
      <c r="C27" s="14"/>
      <c r="D27" s="14"/>
      <c r="E27" s="14"/>
      <c r="F27" s="14"/>
      <c r="G27" s="14"/>
      <c r="H27" s="14"/>
      <c r="I27" s="14"/>
      <c r="J27" s="14"/>
      <c r="K27" s="14"/>
      <c r="L27" s="14"/>
      <c r="M27" s="14"/>
      <c r="N27" s="14"/>
      <c r="O27" s="14"/>
      <c r="P27" s="14"/>
    </row>
    <row r="28" spans="1:16" ht="15" customHeight="1" x14ac:dyDescent="0.25">
      <c r="A28" s="14"/>
      <c r="B28" s="14"/>
      <c r="C28" s="14"/>
      <c r="D28" s="14"/>
      <c r="E28" s="14"/>
      <c r="F28" s="14"/>
      <c r="G28" s="14"/>
      <c r="H28" s="14"/>
      <c r="I28" s="14"/>
      <c r="J28" s="14"/>
      <c r="K28" s="14"/>
      <c r="L28" s="14"/>
      <c r="M28" s="14"/>
      <c r="N28" s="14"/>
      <c r="O28" s="14"/>
      <c r="P28" s="14"/>
    </row>
    <row r="29" spans="1:16" ht="15" customHeight="1" x14ac:dyDescent="0.25">
      <c r="A29" s="14"/>
      <c r="B29" s="14"/>
      <c r="C29" s="14"/>
      <c r="D29" s="14"/>
      <c r="E29" s="14"/>
      <c r="F29" s="14"/>
      <c r="G29" s="14"/>
      <c r="H29" s="14"/>
      <c r="I29" s="14"/>
      <c r="J29" s="412"/>
      <c r="K29" s="412"/>
      <c r="L29" s="14"/>
      <c r="M29" s="14"/>
      <c r="N29" s="14"/>
      <c r="O29" s="14"/>
      <c r="P29" s="14"/>
    </row>
    <row r="30" spans="1:16" ht="15" customHeight="1" x14ac:dyDescent="0.25">
      <c r="A30" s="14"/>
      <c r="B30" s="14"/>
      <c r="C30" s="14"/>
      <c r="D30" s="14"/>
      <c r="E30" s="14"/>
      <c r="F30" s="14"/>
      <c r="G30" s="14"/>
      <c r="H30" s="14"/>
      <c r="I30" s="14"/>
      <c r="J30" s="412"/>
      <c r="K30" s="412"/>
      <c r="L30" s="14"/>
      <c r="M30" s="14"/>
      <c r="N30" s="14"/>
      <c r="O30" s="14"/>
      <c r="P30" s="14"/>
    </row>
    <row r="31" spans="1:16" ht="15" customHeight="1" x14ac:dyDescent="0.25">
      <c r="A31" s="14"/>
      <c r="B31" s="14"/>
      <c r="C31" s="14"/>
      <c r="D31" s="14"/>
      <c r="E31" s="14"/>
      <c r="F31" s="14"/>
      <c r="G31" s="14"/>
      <c r="H31" s="14"/>
      <c r="I31" s="14"/>
      <c r="J31" s="14"/>
      <c r="K31" s="14"/>
      <c r="L31" s="14"/>
      <c r="M31" s="14"/>
      <c r="N31" s="14"/>
      <c r="O31" s="14"/>
      <c r="P31" s="14"/>
    </row>
    <row r="32" spans="1:16" ht="15" customHeight="1" x14ac:dyDescent="0.25">
      <c r="A32" s="14"/>
      <c r="B32" s="14"/>
      <c r="C32" s="14"/>
      <c r="D32" s="14"/>
      <c r="E32" s="14"/>
      <c r="F32" s="14"/>
      <c r="G32" s="14"/>
      <c r="H32" s="14"/>
      <c r="I32" s="14"/>
      <c r="J32" s="14"/>
      <c r="K32" s="14"/>
      <c r="L32" s="14"/>
      <c r="M32" s="14"/>
      <c r="N32" s="14"/>
      <c r="O32" s="14"/>
      <c r="P32" s="14"/>
    </row>
    <row r="33" spans="1:16" ht="15" customHeight="1" x14ac:dyDescent="0.25">
      <c r="A33" s="14"/>
      <c r="B33" s="14"/>
      <c r="C33" s="14"/>
      <c r="D33" s="14"/>
      <c r="E33" s="14"/>
      <c r="F33" s="14"/>
      <c r="G33" s="14"/>
      <c r="H33" s="14"/>
      <c r="I33" s="14"/>
      <c r="J33" s="14"/>
      <c r="K33" s="14"/>
      <c r="L33" s="14"/>
      <c r="M33" s="14"/>
      <c r="N33" s="14"/>
      <c r="O33" s="14"/>
      <c r="P33" s="14"/>
    </row>
    <row r="34" spans="1:16" ht="15" customHeight="1" x14ac:dyDescent="0.25"/>
  </sheetData>
  <mergeCells count="11">
    <mergeCell ref="L4:P4"/>
    <mergeCell ref="A1:N1"/>
    <mergeCell ref="A2:N2"/>
    <mergeCell ref="A3:N3"/>
    <mergeCell ref="O1:P1"/>
    <mergeCell ref="A20:B21"/>
    <mergeCell ref="B12:F12"/>
    <mergeCell ref="A18:B19"/>
    <mergeCell ref="J29:K30"/>
    <mergeCell ref="A5:O6"/>
    <mergeCell ref="N8:O9"/>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3554" r:id="rId3" name="Group box 1011">
              <controlPr defaultSize="0" autoFill="0" autoPict="0">
                <anchor moveWithCells="1">
                  <from>
                    <xdr:col>0</xdr:col>
                    <xdr:colOff>106680</xdr:colOff>
                    <xdr:row>6</xdr:row>
                    <xdr:rowOff>91440</xdr:rowOff>
                  </from>
                  <to>
                    <xdr:col>7</xdr:col>
                    <xdr:colOff>624840</xdr:colOff>
                    <xdr:row>10</xdr:row>
                    <xdr:rowOff>76200</xdr:rowOff>
                  </to>
                </anchor>
              </controlPr>
            </control>
          </mc:Choice>
        </mc:AlternateContent>
        <mc:AlternateContent xmlns:mc="http://schemas.openxmlformats.org/markup-compatibility/2006">
          <mc:Choice Requires="x14">
            <control shapeId="23555" r:id="rId4" name="Group box 1033">
              <controlPr defaultSize="0" autoFill="0" autoPict="0">
                <anchor moveWithCells="1">
                  <from>
                    <xdr:col>0</xdr:col>
                    <xdr:colOff>99060</xdr:colOff>
                    <xdr:row>16</xdr:row>
                    <xdr:rowOff>22860</xdr:rowOff>
                  </from>
                  <to>
                    <xdr:col>7</xdr:col>
                    <xdr:colOff>601980</xdr:colOff>
                    <xdr:row>21</xdr:row>
                    <xdr:rowOff>167640</xdr:rowOff>
                  </to>
                </anchor>
              </controlPr>
            </control>
          </mc:Choice>
        </mc:AlternateContent>
        <mc:AlternateContent xmlns:mc="http://schemas.openxmlformats.org/markup-compatibility/2006">
          <mc:Choice Requires="x14">
            <control shapeId="23559" r:id="rId5" name="Group box 1044">
              <controlPr defaultSize="0" autoFill="0" autoPict="0">
                <anchor moveWithCells="1">
                  <from>
                    <xdr:col>8</xdr:col>
                    <xdr:colOff>144780</xdr:colOff>
                    <xdr:row>12</xdr:row>
                    <xdr:rowOff>60960</xdr:rowOff>
                  </from>
                  <to>
                    <xdr:col>15</xdr:col>
                    <xdr:colOff>152400</xdr:colOff>
                    <xdr:row>16</xdr:row>
                    <xdr:rowOff>38100</xdr:rowOff>
                  </to>
                </anchor>
              </controlPr>
            </control>
          </mc:Choice>
        </mc:AlternateContent>
        <mc:AlternateContent xmlns:mc="http://schemas.openxmlformats.org/markup-compatibility/2006">
          <mc:Choice Requires="x14">
            <control shapeId="23562" r:id="rId6" name="Group box 1022">
              <controlPr defaultSize="0" autoFill="0" autoPict="0">
                <anchor moveWithCells="1">
                  <from>
                    <xdr:col>0</xdr:col>
                    <xdr:colOff>106680</xdr:colOff>
                    <xdr:row>10</xdr:row>
                    <xdr:rowOff>175260</xdr:rowOff>
                  </from>
                  <to>
                    <xdr:col>7</xdr:col>
                    <xdr:colOff>632460</xdr:colOff>
                    <xdr:row>15</xdr:row>
                    <xdr:rowOff>99060</xdr:rowOff>
                  </to>
                </anchor>
              </controlPr>
            </control>
          </mc:Choice>
        </mc:AlternateContent>
        <mc:AlternateContent xmlns:mc="http://schemas.openxmlformats.org/markup-compatibility/2006">
          <mc:Choice Requires="x14">
            <control shapeId="23563" r:id="rId7" name="Group Box 11">
              <controlPr defaultSize="0" autoFill="0" autoPict="0">
                <anchor moveWithCells="1">
                  <from>
                    <xdr:col>8</xdr:col>
                    <xdr:colOff>144780</xdr:colOff>
                    <xdr:row>16</xdr:row>
                    <xdr:rowOff>99060</xdr:rowOff>
                  </from>
                  <to>
                    <xdr:col>15</xdr:col>
                    <xdr:colOff>175260</xdr:colOff>
                    <xdr:row>21</xdr:row>
                    <xdr:rowOff>129540</xdr:rowOff>
                  </to>
                </anchor>
              </controlPr>
            </control>
          </mc:Choice>
        </mc:AlternateContent>
        <mc:AlternateContent xmlns:mc="http://schemas.openxmlformats.org/markup-compatibility/2006">
          <mc:Choice Requires="x14">
            <control shapeId="23566" r:id="rId8" name="Group Box 14">
              <controlPr defaultSize="0" autoFill="0" autoPict="0">
                <anchor moveWithCells="1">
                  <from>
                    <xdr:col>0</xdr:col>
                    <xdr:colOff>38100</xdr:colOff>
                    <xdr:row>4</xdr:row>
                    <xdr:rowOff>53340</xdr:rowOff>
                  </from>
                  <to>
                    <xdr:col>15</xdr:col>
                    <xdr:colOff>335280</xdr:colOff>
                    <xdr:row>22</xdr:row>
                    <xdr:rowOff>167640</xdr:rowOff>
                  </to>
                </anchor>
              </controlPr>
            </control>
          </mc:Choice>
        </mc:AlternateContent>
        <mc:AlternateContent xmlns:mc="http://schemas.openxmlformats.org/markup-compatibility/2006">
          <mc:Choice Requires="x14">
            <control shapeId="23569" r:id="rId9" name="Button 1022">
              <controlPr defaultSize="0" print="0" autoFill="0" autoPict="0" macro="[0]!Calculate_Click">
                <anchor moveWithCells="1" sizeWithCells="1">
                  <from>
                    <xdr:col>10</xdr:col>
                    <xdr:colOff>228600</xdr:colOff>
                    <xdr:row>25</xdr:row>
                    <xdr:rowOff>30480</xdr:rowOff>
                  </from>
                  <to>
                    <xdr:col>12</xdr:col>
                    <xdr:colOff>533400</xdr:colOff>
                    <xdr:row>28</xdr:row>
                    <xdr:rowOff>129540</xdr:rowOff>
                  </to>
                </anchor>
              </controlPr>
            </control>
          </mc:Choice>
        </mc:AlternateContent>
        <mc:AlternateContent xmlns:mc="http://schemas.openxmlformats.org/markup-compatibility/2006">
          <mc:Choice Requires="x14">
            <control shapeId="23571" r:id="rId10" name="Button 1011">
              <controlPr defaultSize="0" print="0" autoFill="0" autoPict="0" macro="[0]!Switchlgg222">
                <anchor moveWithCells="1" sizeWithCells="1">
                  <from>
                    <xdr:col>14</xdr:col>
                    <xdr:colOff>251460</xdr:colOff>
                    <xdr:row>0</xdr:row>
                    <xdr:rowOff>449580</xdr:rowOff>
                  </from>
                  <to>
                    <xdr:col>15</xdr:col>
                    <xdr:colOff>571500</xdr:colOff>
                    <xdr:row>2</xdr:row>
                    <xdr:rowOff>152400</xdr:rowOff>
                  </to>
                </anchor>
              </controlPr>
            </control>
          </mc:Choice>
        </mc:AlternateContent>
        <mc:AlternateContent xmlns:mc="http://schemas.openxmlformats.org/markup-compatibility/2006">
          <mc:Choice Requires="x14">
            <control shapeId="23572" r:id="rId11" name="Option button 1011">
              <controlPr defaultSize="0" autoFill="0" autoLine="0" autoPict="0" macro="[0]!B_Manually">
                <anchor moveWithCells="1">
                  <from>
                    <xdr:col>0</xdr:col>
                    <xdr:colOff>419100</xdr:colOff>
                    <xdr:row>11</xdr:row>
                    <xdr:rowOff>99060</xdr:rowOff>
                  </from>
                  <to>
                    <xdr:col>2</xdr:col>
                    <xdr:colOff>182880</xdr:colOff>
                    <xdr:row>12</xdr:row>
                    <xdr:rowOff>182880</xdr:rowOff>
                  </to>
                </anchor>
              </controlPr>
            </control>
          </mc:Choice>
        </mc:AlternateContent>
        <mc:AlternateContent xmlns:mc="http://schemas.openxmlformats.org/markup-compatibility/2006">
          <mc:Choice Requires="x14">
            <control shapeId="23573" r:id="rId12" name="Option button 1022">
              <controlPr defaultSize="0" autoFill="0" autoLine="0" autoPict="0" macro="[0]!B_Default">
                <anchor moveWithCells="1">
                  <from>
                    <xdr:col>2</xdr:col>
                    <xdr:colOff>60960</xdr:colOff>
                    <xdr:row>11</xdr:row>
                    <xdr:rowOff>91440</xdr:rowOff>
                  </from>
                  <to>
                    <xdr:col>5</xdr:col>
                    <xdr:colOff>152400</xdr:colOff>
                    <xdr:row>12</xdr:row>
                    <xdr:rowOff>175260</xdr:rowOff>
                  </to>
                </anchor>
              </controlPr>
            </control>
          </mc:Choice>
        </mc:AlternateContent>
        <mc:AlternateContent xmlns:mc="http://schemas.openxmlformats.org/markup-compatibility/2006">
          <mc:Choice Requires="x14">
            <control shapeId="23575" r:id="rId13" name="Option button 1033">
              <controlPr defaultSize="0" autoFill="0" autoLine="0" autoPict="0" macro="[0]!beta_Manually">
                <anchor moveWithCells="1">
                  <from>
                    <xdr:col>13</xdr:col>
                    <xdr:colOff>365760</xdr:colOff>
                    <xdr:row>17</xdr:row>
                    <xdr:rowOff>182880</xdr:rowOff>
                  </from>
                  <to>
                    <xdr:col>14</xdr:col>
                    <xdr:colOff>601980</xdr:colOff>
                    <xdr:row>19</xdr:row>
                    <xdr:rowOff>76200</xdr:rowOff>
                  </to>
                </anchor>
              </controlPr>
            </control>
          </mc:Choice>
        </mc:AlternateContent>
        <mc:AlternateContent xmlns:mc="http://schemas.openxmlformats.org/markup-compatibility/2006">
          <mc:Choice Requires="x14">
            <control shapeId="23576" r:id="rId14" name="Option button 1044">
              <controlPr defaultSize="0" autoFill="0" autoLine="0" autoPict="0" macro="[0]!beta_Default">
                <anchor moveWithCells="1">
                  <from>
                    <xdr:col>13</xdr:col>
                    <xdr:colOff>342900</xdr:colOff>
                    <xdr:row>19</xdr:row>
                    <xdr:rowOff>137160</xdr:rowOff>
                  </from>
                  <to>
                    <xdr:col>14</xdr:col>
                    <xdr:colOff>609600</xdr:colOff>
                    <xdr:row>21</xdr:row>
                    <xdr:rowOff>68580</xdr:rowOff>
                  </to>
                </anchor>
              </controlPr>
            </control>
          </mc:Choice>
        </mc:AlternateContent>
        <mc:AlternateContent xmlns:mc="http://schemas.openxmlformats.org/markup-compatibility/2006">
          <mc:Choice Requires="x14">
            <control shapeId="23578" r:id="rId15" name="Group Box 1055">
              <controlPr defaultSize="0" autoFill="0" autoPict="0">
                <anchor moveWithCells="1">
                  <from>
                    <xdr:col>8</xdr:col>
                    <xdr:colOff>152400</xdr:colOff>
                    <xdr:row>6</xdr:row>
                    <xdr:rowOff>76200</xdr:rowOff>
                  </from>
                  <to>
                    <xdr:col>15</xdr:col>
                    <xdr:colOff>220980</xdr:colOff>
                    <xdr:row>11</xdr:row>
                    <xdr:rowOff>76200</xdr:rowOff>
                  </to>
                </anchor>
              </controlPr>
            </control>
          </mc:Choice>
        </mc:AlternateContent>
        <mc:AlternateContent xmlns:mc="http://schemas.openxmlformats.org/markup-compatibility/2006">
          <mc:Choice Requires="x14">
            <control shapeId="23590" r:id="rId16" name="Option Button 1055">
              <controlPr defaultSize="0" autoFill="0" autoLine="0" autoPict="0" macro="[0]!mqb_Input">
                <anchor moveWithCells="1">
                  <from>
                    <xdr:col>11</xdr:col>
                    <xdr:colOff>525780</xdr:colOff>
                    <xdr:row>9</xdr:row>
                    <xdr:rowOff>106680</xdr:rowOff>
                  </from>
                  <to>
                    <xdr:col>13</xdr:col>
                    <xdr:colOff>182880</xdr:colOff>
                    <xdr:row>11</xdr:row>
                    <xdr:rowOff>76200</xdr:rowOff>
                  </to>
                </anchor>
              </controlPr>
            </control>
          </mc:Choice>
        </mc:AlternateContent>
        <mc:AlternateContent xmlns:mc="http://schemas.openxmlformats.org/markup-compatibility/2006">
          <mc:Choice Requires="x14">
            <control shapeId="23591" r:id="rId17" name="Option Button 1066">
              <controlPr defaultSize="0" autoFill="0" autoLine="0" autoPict="0" macro="[0]!C_Input">
                <anchor moveWithCells="1">
                  <from>
                    <xdr:col>13</xdr:col>
                    <xdr:colOff>91440</xdr:colOff>
                    <xdr:row>9</xdr:row>
                    <xdr:rowOff>137160</xdr:rowOff>
                  </from>
                  <to>
                    <xdr:col>14</xdr:col>
                    <xdr:colOff>228600</xdr:colOff>
                    <xdr:row>11</xdr:row>
                    <xdr:rowOff>53340</xdr:rowOff>
                  </to>
                </anchor>
              </controlPr>
            </control>
          </mc:Choice>
        </mc:AlternateContent>
        <mc:AlternateContent xmlns:mc="http://schemas.openxmlformats.org/markup-compatibility/2006">
          <mc:Choice Requires="x14">
            <control shapeId="23592" r:id="rId18" name="Option Button 1077">
              <controlPr defaultSize="0" autoFill="0" autoLine="0" autoPict="0" macro="[0]!m_Default">
                <anchor moveWithCells="1">
                  <from>
                    <xdr:col>14</xdr:col>
                    <xdr:colOff>213360</xdr:colOff>
                    <xdr:row>9</xdr:row>
                    <xdr:rowOff>152400</xdr:rowOff>
                  </from>
                  <to>
                    <xdr:col>15</xdr:col>
                    <xdr:colOff>228600</xdr:colOff>
                    <xdr:row>11</xdr:row>
                    <xdr:rowOff>53340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BA999"/>
  <sheetViews>
    <sheetView tabSelected="1" topLeftCell="A7" zoomScaleNormal="100" workbookViewId="0">
      <selection activeCell="R42" sqref="R42"/>
    </sheetView>
  </sheetViews>
  <sheetFormatPr defaultColWidth="10.44140625" defaultRowHeight="14.4" x14ac:dyDescent="0.25"/>
  <cols>
    <col min="1" max="1" width="8.88671875" style="43" customWidth="1"/>
    <col min="2" max="2" width="9.88671875" style="43" customWidth="1"/>
    <col min="3" max="3" width="12.33203125" style="43" customWidth="1"/>
    <col min="4" max="4" width="10.44140625" style="43" bestFit="1" customWidth="1"/>
    <col min="5" max="5" width="11.44140625" style="43" customWidth="1"/>
    <col min="6" max="6" width="12.109375" style="43" customWidth="1"/>
    <col min="7" max="7" width="10.6640625" style="43" customWidth="1"/>
    <col min="8" max="8" width="9.44140625" style="43" customWidth="1"/>
    <col min="9" max="9" width="12.21875" style="43" customWidth="1"/>
    <col min="10" max="10" width="10.6640625" style="43" customWidth="1"/>
    <col min="11" max="11" width="8.77734375" style="43" customWidth="1"/>
    <col min="12" max="12" width="14.109375" style="43" customWidth="1"/>
    <col min="13" max="13" width="9.109375" style="43" customWidth="1"/>
    <col min="14" max="14" width="7.44140625" style="43" customWidth="1"/>
    <col min="15" max="15" width="13.88671875" style="43" customWidth="1"/>
    <col min="16" max="16" width="8.33203125" style="43" customWidth="1"/>
    <col min="17" max="18" width="8.44140625" style="8" customWidth="1"/>
    <col min="19" max="20" width="6.44140625" style="30" customWidth="1"/>
    <col min="21" max="21" width="13.77734375" style="30" hidden="1" customWidth="1"/>
    <col min="22" max="22" width="12.88671875" style="30" hidden="1" customWidth="1"/>
    <col min="23" max="23" width="16.109375" style="30" hidden="1" customWidth="1"/>
    <col min="24" max="24" width="11.109375" style="30" hidden="1" customWidth="1"/>
    <col min="25" max="25" width="10.44140625" style="30" hidden="1" customWidth="1"/>
    <col min="26" max="26" width="15" style="131" hidden="1" customWidth="1"/>
    <col min="27" max="27" width="12.44140625" style="30" hidden="1" customWidth="1"/>
    <col min="28" max="28" width="10.44140625" style="8" hidden="1" customWidth="1"/>
    <col min="29" max="29" width="5.6640625" style="8" customWidth="1"/>
    <col min="30" max="30" width="6.33203125" style="8" customWidth="1"/>
    <col min="31" max="31" width="6" style="8" customWidth="1"/>
    <col min="32" max="32" width="7.44140625" style="8" customWidth="1"/>
    <col min="33" max="33" width="7.77734375" style="8" customWidth="1"/>
    <col min="34" max="34" width="10" style="8" customWidth="1"/>
    <col min="35" max="35" width="8.21875" style="8" customWidth="1"/>
    <col min="36" max="36" width="7.44140625" style="8" customWidth="1"/>
    <col min="37" max="37" width="11.109375" style="8" bestFit="1" customWidth="1"/>
    <col min="38" max="52" width="10.44140625" style="8"/>
    <col min="53" max="16384" width="10.44140625" style="30"/>
  </cols>
  <sheetData>
    <row r="1" spans="1:52" ht="39.75" customHeight="1" x14ac:dyDescent="0.25">
      <c r="A1" s="416" t="s">
        <v>334</v>
      </c>
      <c r="B1" s="416"/>
      <c r="C1" s="416"/>
      <c r="D1" s="416"/>
      <c r="E1" s="416"/>
      <c r="F1" s="416"/>
      <c r="G1" s="416"/>
      <c r="H1" s="416"/>
      <c r="I1" s="416"/>
      <c r="J1" s="416"/>
      <c r="K1" s="416"/>
      <c r="L1" s="420" t="s">
        <v>337</v>
      </c>
      <c r="M1" s="421"/>
      <c r="N1" s="302"/>
      <c r="O1" s="352"/>
      <c r="P1" s="302"/>
      <c r="Q1" s="302"/>
      <c r="R1" s="302"/>
      <c r="S1" s="302"/>
      <c r="T1" s="302"/>
      <c r="U1" s="302"/>
      <c r="V1" s="302"/>
      <c r="W1" s="302"/>
      <c r="X1" s="302"/>
      <c r="Y1" s="302"/>
      <c r="Z1" s="85"/>
      <c r="AA1" s="66"/>
      <c r="AB1" s="66"/>
      <c r="AC1" s="66"/>
      <c r="AD1" s="66"/>
      <c r="AE1" s="66"/>
      <c r="AF1" s="66"/>
      <c r="AG1" s="66"/>
      <c r="AH1" s="66"/>
      <c r="AI1" s="66"/>
      <c r="AJ1" s="66"/>
    </row>
    <row r="2" spans="1:52" s="308" customFormat="1" ht="22.5" customHeight="1" x14ac:dyDescent="0.25">
      <c r="A2" s="417" t="s">
        <v>364</v>
      </c>
      <c r="B2" s="417"/>
      <c r="C2" s="417"/>
      <c r="D2" s="417"/>
      <c r="E2" s="417"/>
      <c r="F2" s="417"/>
      <c r="G2" s="417"/>
      <c r="H2" s="417"/>
      <c r="I2" s="417"/>
      <c r="J2" s="417"/>
      <c r="K2" s="417"/>
      <c r="L2" s="303">
        <v>0</v>
      </c>
      <c r="M2" s="303"/>
      <c r="N2" s="304"/>
      <c r="O2" s="304"/>
      <c r="P2" s="304"/>
      <c r="Q2" s="304"/>
      <c r="R2" s="304"/>
      <c r="S2" s="304"/>
      <c r="T2" s="304"/>
      <c r="U2" s="304"/>
      <c r="V2" s="304"/>
      <c r="W2" s="304"/>
      <c r="X2" s="304"/>
      <c r="Y2" s="304"/>
      <c r="Z2" s="305"/>
      <c r="AA2" s="306"/>
      <c r="AB2" s="306"/>
      <c r="AC2" s="306"/>
      <c r="AD2" s="306"/>
      <c r="AE2" s="306"/>
      <c r="AF2" s="306"/>
      <c r="AG2" s="306"/>
      <c r="AH2" s="306"/>
      <c r="AI2" s="306"/>
      <c r="AJ2" s="306"/>
      <c r="AK2" s="307"/>
      <c r="AL2" s="307"/>
      <c r="AM2" s="307"/>
      <c r="AN2" s="307"/>
      <c r="AO2" s="307"/>
      <c r="AP2" s="307"/>
      <c r="AQ2" s="307"/>
      <c r="AR2" s="307"/>
      <c r="AS2" s="307"/>
      <c r="AT2" s="307"/>
      <c r="AU2" s="307"/>
      <c r="AV2" s="307"/>
      <c r="AW2" s="307"/>
      <c r="AX2" s="307"/>
      <c r="AY2" s="307"/>
      <c r="AZ2" s="307"/>
    </row>
    <row r="3" spans="1:52" ht="33" customHeight="1" x14ac:dyDescent="0.25">
      <c r="A3" s="418" t="s">
        <v>365</v>
      </c>
      <c r="B3" s="418"/>
      <c r="C3" s="418"/>
      <c r="D3" s="418"/>
      <c r="E3" s="418"/>
      <c r="F3" s="418"/>
      <c r="G3" s="418"/>
      <c r="H3" s="418"/>
      <c r="I3" s="418"/>
      <c r="J3" s="418"/>
      <c r="K3" s="418"/>
      <c r="L3" s="309"/>
      <c r="M3" s="309"/>
      <c r="N3" s="310"/>
      <c r="O3" s="341"/>
      <c r="P3" s="343"/>
      <c r="Q3" s="310"/>
      <c r="R3" s="310"/>
      <c r="S3" s="310"/>
      <c r="T3" s="310"/>
      <c r="U3" s="310"/>
      <c r="V3" s="310"/>
      <c r="W3" s="310"/>
      <c r="X3" s="310"/>
      <c r="Y3" s="310"/>
      <c r="Z3" s="85"/>
      <c r="AA3" s="66"/>
      <c r="AB3" s="66"/>
      <c r="AC3" s="66"/>
      <c r="AD3" s="66"/>
      <c r="AE3" s="66"/>
      <c r="AF3" s="66"/>
      <c r="AG3" s="66"/>
      <c r="AH3" s="66"/>
      <c r="AI3" s="66"/>
      <c r="AJ3" s="66"/>
    </row>
    <row r="4" spans="1:52" ht="35.25" customHeight="1" x14ac:dyDescent="0.25">
      <c r="A4" s="370" t="s">
        <v>366</v>
      </c>
      <c r="B4" s="350"/>
      <c r="C4" s="370" t="s">
        <v>367</v>
      </c>
      <c r="D4" s="350"/>
      <c r="E4" s="370" t="s">
        <v>341</v>
      </c>
      <c r="F4" s="350"/>
      <c r="G4" s="370" t="s">
        <v>342</v>
      </c>
      <c r="H4" s="350"/>
      <c r="I4" s="370" t="s">
        <v>368</v>
      </c>
      <c r="J4" s="350"/>
      <c r="K4" s="370" t="s">
        <v>369</v>
      </c>
      <c r="L4" s="425"/>
      <c r="M4" s="426"/>
      <c r="N4" s="311"/>
      <c r="O4" s="342"/>
      <c r="P4" s="311"/>
      <c r="Q4" s="311"/>
      <c r="R4" s="311"/>
      <c r="S4" s="310"/>
      <c r="T4" s="310"/>
      <c r="U4" s="310"/>
      <c r="V4" s="310"/>
      <c r="W4" s="310"/>
      <c r="X4" s="310"/>
      <c r="Y4" s="310"/>
      <c r="Z4" s="85"/>
      <c r="AA4" s="66"/>
      <c r="AB4" s="66"/>
      <c r="AC4" s="66"/>
      <c r="AD4" s="66"/>
      <c r="AE4" s="66"/>
      <c r="AF4" s="66"/>
      <c r="AG4" s="66"/>
      <c r="AH4" s="66"/>
      <c r="AI4" s="66"/>
      <c r="AJ4" s="66"/>
    </row>
    <row r="5" spans="1:52" x14ac:dyDescent="0.25">
      <c r="A5" s="245"/>
      <c r="B5" s="245"/>
      <c r="C5" s="245"/>
      <c r="D5" s="245"/>
      <c r="E5" s="245"/>
      <c r="F5" s="245"/>
      <c r="G5" s="64"/>
      <c r="H5" s="411"/>
      <c r="I5" s="411"/>
      <c r="J5" s="411"/>
      <c r="K5" s="411"/>
      <c r="L5" s="411"/>
      <c r="M5" s="64"/>
      <c r="N5" s="431"/>
      <c r="O5" s="431"/>
      <c r="P5" s="431"/>
      <c r="Q5" s="431"/>
      <c r="R5" s="264"/>
      <c r="S5" s="66"/>
      <c r="T5" s="66"/>
      <c r="U5" s="66"/>
      <c r="V5" s="66"/>
      <c r="W5" s="66"/>
      <c r="X5" s="66"/>
      <c r="Y5" s="66"/>
      <c r="Z5" s="85"/>
      <c r="AA5" s="66"/>
      <c r="AB5" s="66"/>
      <c r="AC5" s="66"/>
      <c r="AD5" s="66"/>
      <c r="AE5" s="66"/>
      <c r="AF5" s="66"/>
      <c r="AG5" s="66"/>
      <c r="AH5" s="66"/>
      <c r="AI5" s="66"/>
      <c r="AJ5" s="66"/>
    </row>
    <row r="6" spans="1:52" x14ac:dyDescent="0.25">
      <c r="A6" s="254" t="s">
        <v>240</v>
      </c>
      <c r="B6" s="378">
        <v>1497.65</v>
      </c>
      <c r="C6" s="373" t="s">
        <v>345</v>
      </c>
      <c r="D6" s="244"/>
      <c r="E6" s="244"/>
      <c r="F6" s="244"/>
      <c r="G6" s="64"/>
      <c r="H6" s="432"/>
      <c r="I6" s="432"/>
      <c r="J6" s="432"/>
      <c r="K6" s="432"/>
      <c r="L6" s="432"/>
      <c r="M6" s="64"/>
      <c r="N6" s="430"/>
      <c r="O6" s="430"/>
      <c r="P6" s="430"/>
      <c r="Q6" s="430"/>
      <c r="R6" s="265"/>
      <c r="S6" s="8"/>
      <c r="T6" s="8"/>
      <c r="U6" s="8"/>
      <c r="V6" s="8"/>
      <c r="W6" s="8"/>
      <c r="X6" s="8"/>
      <c r="Y6" s="8"/>
      <c r="Z6" s="86"/>
      <c r="AA6" s="66"/>
      <c r="AB6" s="66"/>
      <c r="AC6" s="66"/>
      <c r="AD6" s="66"/>
      <c r="AE6" s="66"/>
      <c r="AF6" s="66"/>
      <c r="AG6" s="66"/>
      <c r="AH6" s="66"/>
      <c r="AI6" s="66"/>
      <c r="AJ6" s="66"/>
    </row>
    <row r="7" spans="1:52" ht="12.75" customHeight="1" x14ac:dyDescent="0.25">
      <c r="A7" s="254" t="s">
        <v>286</v>
      </c>
      <c r="B7" s="258">
        <v>1848</v>
      </c>
      <c r="C7" s="373" t="s">
        <v>370</v>
      </c>
      <c r="D7" s="244"/>
      <c r="E7" s="244"/>
      <c r="F7" s="244"/>
      <c r="G7" s="252" t="s">
        <v>247</v>
      </c>
      <c r="H7" s="77">
        <v>1498.22</v>
      </c>
      <c r="I7" s="373" t="s">
        <v>348</v>
      </c>
      <c r="J7" s="64"/>
      <c r="K7" s="64"/>
      <c r="L7" s="64"/>
      <c r="M7" s="64"/>
      <c r="N7" s="266"/>
      <c r="O7" s="266"/>
      <c r="P7" s="266"/>
      <c r="Q7" s="266"/>
      <c r="R7" s="267"/>
      <c r="S7" s="8"/>
      <c r="T7" s="8"/>
      <c r="U7" s="8"/>
      <c r="V7" s="8"/>
      <c r="W7" s="8"/>
      <c r="X7" s="8"/>
      <c r="Y7" s="8"/>
      <c r="Z7" s="86"/>
      <c r="AA7" s="66"/>
      <c r="AB7" s="66"/>
      <c r="AC7" s="66"/>
      <c r="AD7" s="66"/>
      <c r="AE7" s="66"/>
      <c r="AF7" s="66"/>
      <c r="AG7" s="66"/>
      <c r="AH7" s="66"/>
      <c r="AI7" s="66"/>
      <c r="AJ7" s="66"/>
    </row>
    <row r="8" spans="1:52" ht="14.25" customHeight="1" x14ac:dyDescent="0.25">
      <c r="A8" s="254" t="s">
        <v>231</v>
      </c>
      <c r="B8" s="258">
        <v>1477.55</v>
      </c>
      <c r="C8" s="373" t="s">
        <v>347</v>
      </c>
      <c r="D8" s="244"/>
      <c r="E8" s="244"/>
      <c r="F8" s="118"/>
      <c r="G8" s="252" t="s">
        <v>241</v>
      </c>
      <c r="H8" s="377">
        <v>1</v>
      </c>
      <c r="I8" s="373" t="s">
        <v>349</v>
      </c>
      <c r="J8" s="256"/>
      <c r="K8" s="256"/>
      <c r="L8" s="67"/>
      <c r="M8" s="67"/>
      <c r="N8" s="266"/>
      <c r="O8" s="266" t="s">
        <v>110</v>
      </c>
      <c r="P8" s="429"/>
      <c r="Q8" s="266"/>
      <c r="R8" s="66"/>
      <c r="S8" s="66"/>
      <c r="T8" s="66"/>
      <c r="U8" s="66"/>
      <c r="V8" s="66"/>
      <c r="W8" s="66"/>
      <c r="X8" s="66"/>
      <c r="Y8" s="66"/>
      <c r="Z8" s="85"/>
      <c r="AA8" s="66"/>
      <c r="AB8" s="66"/>
      <c r="AC8" s="66"/>
      <c r="AD8" s="66"/>
      <c r="AE8" s="66"/>
      <c r="AF8" s="66"/>
      <c r="AG8" s="66"/>
      <c r="AH8" s="66"/>
      <c r="AI8" s="66"/>
      <c r="AJ8" s="66"/>
    </row>
    <row r="9" spans="1:52" ht="18.75" customHeight="1" x14ac:dyDescent="0.25">
      <c r="A9" s="68"/>
      <c r="B9" s="69"/>
      <c r="C9" s="300"/>
      <c r="D9" s="300"/>
      <c r="E9" s="300"/>
      <c r="F9" s="118"/>
      <c r="G9" s="278"/>
      <c r="H9" s="279"/>
      <c r="I9" s="280"/>
      <c r="J9" s="248"/>
      <c r="K9" s="248"/>
      <c r="L9" s="246"/>
      <c r="M9" s="67"/>
      <c r="N9" s="266"/>
      <c r="O9" s="266" t="s">
        <v>226</v>
      </c>
      <c r="P9" s="429"/>
      <c r="Q9" s="266"/>
      <c r="R9" s="66"/>
      <c r="S9" s="66"/>
      <c r="T9" s="66"/>
      <c r="U9" s="66"/>
      <c r="V9" s="66"/>
      <c r="W9" s="66"/>
      <c r="X9" s="66"/>
      <c r="Y9" s="66"/>
      <c r="Z9" s="85"/>
      <c r="AA9" s="66"/>
      <c r="AB9" s="66"/>
      <c r="AC9" s="66"/>
      <c r="AD9" s="66"/>
      <c r="AE9" s="66"/>
      <c r="AF9" s="66"/>
      <c r="AG9" s="66"/>
      <c r="AH9" s="66"/>
      <c r="AI9" s="66"/>
      <c r="AJ9" s="66"/>
    </row>
    <row r="10" spans="1:52" ht="15.75" customHeight="1" x14ac:dyDescent="0.35">
      <c r="A10" s="298"/>
      <c r="B10" s="298"/>
      <c r="C10" s="298"/>
      <c r="D10" s="298"/>
      <c r="E10" s="298"/>
      <c r="F10" s="118"/>
      <c r="G10" s="301" t="s">
        <v>279</v>
      </c>
      <c r="H10" s="277">
        <v>0</v>
      </c>
      <c r="I10" s="373" t="s">
        <v>391</v>
      </c>
      <c r="J10" s="301" t="s">
        <v>272</v>
      </c>
      <c r="K10" s="344">
        <f>mminter(H12,H10,H11)</f>
        <v>5.4729933333333314E-2</v>
      </c>
      <c r="L10" s="373" t="s">
        <v>385</v>
      </c>
      <c r="M10" s="67"/>
      <c r="N10" s="266">
        <v>5</v>
      </c>
      <c r="O10" s="266" t="s">
        <v>111</v>
      </c>
      <c r="P10" s="266"/>
      <c r="Q10" s="268"/>
      <c r="R10" s="71"/>
      <c r="S10" s="71"/>
      <c r="T10" s="71"/>
      <c r="U10" s="66"/>
      <c r="V10" s="66"/>
      <c r="W10" s="66"/>
      <c r="X10" s="66"/>
      <c r="Y10" s="66"/>
      <c r="Z10" s="85"/>
      <c r="AA10" s="66"/>
      <c r="AB10" s="66"/>
      <c r="AC10" s="66"/>
      <c r="AD10" s="66"/>
      <c r="AE10" s="66"/>
      <c r="AF10" s="66"/>
      <c r="AG10" s="66"/>
      <c r="AH10" s="66"/>
      <c r="AI10" s="66"/>
      <c r="AJ10" s="66"/>
    </row>
    <row r="11" spans="1:52" ht="16.2" x14ac:dyDescent="0.25">
      <c r="A11" s="254" t="s">
        <v>244</v>
      </c>
      <c r="B11" s="259">
        <v>1.6889355742296937E-2</v>
      </c>
      <c r="C11" s="373" t="s">
        <v>371</v>
      </c>
      <c r="D11" s="300"/>
      <c r="E11" s="300"/>
      <c r="F11" s="118"/>
      <c r="G11" s="380" t="s">
        <v>285</v>
      </c>
      <c r="H11" s="257">
        <v>38.799999999999997</v>
      </c>
      <c r="I11" s="373" t="s">
        <v>361</v>
      </c>
      <c r="J11" s="252" t="s">
        <v>273</v>
      </c>
      <c r="K11" s="345">
        <f>mm2inter(H12,H11)</f>
        <v>3.7728623234227224E-2</v>
      </c>
      <c r="L11" s="373" t="s">
        <v>386</v>
      </c>
      <c r="M11" s="67"/>
      <c r="N11" s="266"/>
      <c r="O11" s="266" t="s">
        <v>112</v>
      </c>
      <c r="P11" s="266"/>
      <c r="Q11" s="268"/>
      <c r="R11" s="71"/>
      <c r="S11" s="71"/>
      <c r="T11" s="71"/>
      <c r="U11" s="66"/>
      <c r="V11" s="66"/>
      <c r="W11" s="66"/>
      <c r="X11" s="66"/>
      <c r="Y11" s="66"/>
      <c r="Z11" s="85"/>
      <c r="AA11" s="66"/>
      <c r="AB11" s="66"/>
      <c r="AC11" s="66"/>
      <c r="AD11" s="66"/>
      <c r="AE11" s="66"/>
      <c r="AF11" s="66"/>
      <c r="AG11" s="66"/>
      <c r="AH11" s="66"/>
      <c r="AI11" s="66"/>
      <c r="AJ11" s="66"/>
    </row>
    <row r="12" spans="1:52" ht="16.2" x14ac:dyDescent="0.25">
      <c r="A12" s="254" t="s">
        <v>245</v>
      </c>
      <c r="B12" s="259">
        <v>2.2049299719882721E-2</v>
      </c>
      <c r="C12" s="373" t="s">
        <v>372</v>
      </c>
      <c r="D12" s="300"/>
      <c r="E12" s="300"/>
      <c r="F12" s="118"/>
      <c r="G12" s="252" t="s">
        <v>271</v>
      </c>
      <c r="H12" s="262">
        <v>21.9</v>
      </c>
      <c r="I12" s="373" t="s">
        <v>378</v>
      </c>
      <c r="J12" s="252"/>
      <c r="K12" s="354"/>
      <c r="L12" s="351"/>
      <c r="M12" s="67"/>
      <c r="N12" s="266"/>
      <c r="O12" s="266" t="s">
        <v>227</v>
      </c>
      <c r="P12" s="266"/>
      <c r="Q12" s="268"/>
      <c r="R12" s="71"/>
      <c r="S12" s="71"/>
      <c r="T12" s="71"/>
      <c r="U12" s="66"/>
      <c r="V12" s="66"/>
      <c r="W12" s="66"/>
      <c r="X12" s="66"/>
      <c r="Y12" s="66"/>
      <c r="Z12" s="85"/>
      <c r="AA12" s="66"/>
      <c r="AB12" s="66"/>
      <c r="AC12" s="66"/>
      <c r="AD12" s="66"/>
      <c r="AE12" s="66"/>
      <c r="AF12" s="66"/>
      <c r="AG12" s="66"/>
      <c r="AH12" s="66"/>
      <c r="AI12" s="66"/>
      <c r="AJ12" s="66"/>
    </row>
    <row r="13" spans="1:52" ht="17.25" customHeight="1" x14ac:dyDescent="0.25">
      <c r="A13" s="254" t="s">
        <v>246</v>
      </c>
      <c r="B13" s="259">
        <v>5.5140462184875005E-2</v>
      </c>
      <c r="C13" s="373" t="s">
        <v>373</v>
      </c>
      <c r="D13" s="300"/>
      <c r="E13" s="300"/>
      <c r="F13" s="118"/>
      <c r="G13" s="252" t="s">
        <v>280</v>
      </c>
      <c r="H13" s="353">
        <v>129</v>
      </c>
      <c r="I13" s="373" t="s">
        <v>363</v>
      </c>
      <c r="J13" s="248"/>
      <c r="K13" s="248"/>
      <c r="L13" s="247"/>
      <c r="M13" s="67"/>
      <c r="N13" s="266"/>
      <c r="O13" s="266" t="s">
        <v>113</v>
      </c>
      <c r="P13" s="266"/>
      <c r="Q13" s="268"/>
      <c r="R13" s="71"/>
      <c r="S13" s="71"/>
      <c r="T13" s="71"/>
      <c r="U13" s="66"/>
      <c r="V13" s="66"/>
      <c r="W13" s="66"/>
      <c r="X13" s="66"/>
      <c r="Y13" s="66"/>
      <c r="Z13" s="85"/>
      <c r="AA13" s="66"/>
      <c r="AB13" s="66"/>
      <c r="AC13" s="66"/>
      <c r="AD13" s="66"/>
      <c r="AE13" s="66"/>
      <c r="AF13" s="66"/>
      <c r="AG13" s="66"/>
      <c r="AH13" s="66"/>
      <c r="AI13" s="66"/>
      <c r="AJ13" s="66"/>
    </row>
    <row r="14" spans="1:52" ht="17.25" customHeight="1" x14ac:dyDescent="0.25">
      <c r="A14" s="243" t="s">
        <v>374</v>
      </c>
      <c r="B14" s="243"/>
      <c r="C14" s="243"/>
      <c r="D14" s="243"/>
      <c r="E14" s="243"/>
      <c r="F14" s="118"/>
      <c r="G14" s="118"/>
      <c r="H14" s="118"/>
      <c r="I14" s="118"/>
      <c r="J14" s="249"/>
      <c r="K14" s="249"/>
      <c r="L14" s="247"/>
      <c r="M14" s="67"/>
      <c r="N14" s="266"/>
      <c r="O14" s="266" t="s">
        <v>114</v>
      </c>
      <c r="P14" s="266"/>
      <c r="Q14" s="268"/>
      <c r="R14" s="71"/>
      <c r="S14" s="71"/>
      <c r="T14" s="71"/>
      <c r="U14" s="66"/>
      <c r="V14" s="66"/>
      <c r="W14" s="66"/>
      <c r="X14" s="66"/>
      <c r="Y14" s="66"/>
      <c r="Z14" s="85"/>
      <c r="AA14" s="66"/>
      <c r="AB14" s="66"/>
      <c r="AC14" s="66"/>
      <c r="AD14" s="66"/>
      <c r="AE14" s="66"/>
      <c r="AF14" s="66"/>
      <c r="AG14" s="66"/>
      <c r="AH14" s="66"/>
      <c r="AI14" s="66"/>
      <c r="AJ14" s="66"/>
    </row>
    <row r="15" spans="1:52" ht="19.5" customHeight="1" x14ac:dyDescent="0.25">
      <c r="A15" s="74"/>
      <c r="B15" s="74"/>
      <c r="C15" s="74"/>
      <c r="D15" s="74"/>
      <c r="E15" s="74"/>
      <c r="F15" s="118"/>
      <c r="G15" s="253" t="s">
        <v>242</v>
      </c>
      <c r="H15" s="262">
        <v>5.0000000000000001E-3</v>
      </c>
      <c r="I15" s="373" t="s">
        <v>379</v>
      </c>
      <c r="J15" s="249"/>
      <c r="K15" s="249"/>
      <c r="L15" s="247"/>
      <c r="M15" s="67"/>
      <c r="N15" s="266"/>
      <c r="O15" s="269" t="s">
        <v>225</v>
      </c>
      <c r="P15" s="266"/>
      <c r="Q15" s="268"/>
      <c r="R15" s="71"/>
      <c r="S15" s="71"/>
      <c r="T15" s="71"/>
      <c r="U15" s="66"/>
      <c r="V15" s="66"/>
      <c r="W15" s="66"/>
      <c r="X15" s="66"/>
      <c r="Y15" s="66"/>
      <c r="Z15" s="85"/>
      <c r="AA15" s="66"/>
      <c r="AB15" s="66"/>
      <c r="AC15" s="66"/>
      <c r="AD15" s="66"/>
      <c r="AE15" s="66"/>
      <c r="AF15" s="66"/>
      <c r="AG15" s="66"/>
      <c r="AH15" s="66"/>
      <c r="AI15" s="66"/>
      <c r="AJ15" s="66"/>
    </row>
    <row r="16" spans="1:52" ht="18.75" customHeight="1" x14ac:dyDescent="0.25">
      <c r="A16" s="65"/>
      <c r="B16" s="65"/>
      <c r="C16" s="65"/>
      <c r="D16" s="65"/>
      <c r="E16" s="65"/>
      <c r="F16" s="118"/>
      <c r="G16" s="253" t="s">
        <v>243</v>
      </c>
      <c r="H16" s="262">
        <v>2650</v>
      </c>
      <c r="I16" s="373" t="s">
        <v>380</v>
      </c>
      <c r="J16" s="249"/>
      <c r="K16" s="249"/>
      <c r="L16" s="118"/>
      <c r="M16" s="67"/>
      <c r="N16" s="266"/>
      <c r="O16" s="269" t="s">
        <v>268</v>
      </c>
      <c r="P16" s="266"/>
      <c r="Q16" s="268"/>
      <c r="R16" s="71"/>
      <c r="S16" s="71"/>
      <c r="T16" s="71"/>
      <c r="U16" s="66"/>
      <c r="V16" s="66"/>
      <c r="W16" s="66"/>
      <c r="X16" s="66"/>
      <c r="Y16" s="66"/>
      <c r="Z16" s="85"/>
      <c r="AA16" s="66"/>
      <c r="AB16" s="66"/>
      <c r="AC16" s="66"/>
      <c r="AD16" s="66"/>
      <c r="AE16" s="66"/>
      <c r="AF16" s="66"/>
      <c r="AG16" s="66"/>
      <c r="AH16" s="66"/>
      <c r="AI16" s="66"/>
      <c r="AJ16" s="66"/>
    </row>
    <row r="17" spans="1:36" ht="17.25" customHeight="1" x14ac:dyDescent="0.25">
      <c r="A17" s="255" t="s">
        <v>232</v>
      </c>
      <c r="B17" s="258">
        <v>0.36</v>
      </c>
      <c r="C17" s="373" t="s">
        <v>352</v>
      </c>
      <c r="D17" s="244"/>
      <c r="E17" s="244"/>
      <c r="F17" s="118"/>
      <c r="G17" s="253" t="s">
        <v>228</v>
      </c>
      <c r="H17" s="262">
        <v>0.43</v>
      </c>
      <c r="I17" s="373" t="s">
        <v>381</v>
      </c>
      <c r="J17" s="250"/>
      <c r="K17" s="250"/>
      <c r="L17" s="118"/>
      <c r="M17" s="67"/>
      <c r="N17" s="71"/>
      <c r="O17" s="71"/>
      <c r="P17" s="270"/>
      <c r="Q17" s="71"/>
      <c r="R17" s="71"/>
      <c r="S17" s="71"/>
      <c r="T17" s="71"/>
      <c r="U17" s="66"/>
      <c r="V17" s="66"/>
      <c r="W17" s="66"/>
      <c r="X17" s="66"/>
      <c r="Y17" s="66"/>
      <c r="Z17" s="85"/>
      <c r="AA17" s="66"/>
      <c r="AB17" s="66"/>
      <c r="AC17" s="66"/>
      <c r="AD17" s="66"/>
      <c r="AE17" s="66"/>
      <c r="AF17" s="66"/>
      <c r="AG17" s="66"/>
      <c r="AH17" s="66"/>
      <c r="AI17" s="66"/>
      <c r="AJ17" s="66"/>
    </row>
    <row r="18" spans="1:36" ht="18" customHeight="1" x14ac:dyDescent="0.25">
      <c r="A18" s="255" t="s">
        <v>233</v>
      </c>
      <c r="B18" s="258">
        <v>0.89727179178274741</v>
      </c>
      <c r="C18" s="373" t="s">
        <v>375</v>
      </c>
      <c r="D18" s="244"/>
      <c r="E18" s="244"/>
      <c r="F18" s="118"/>
      <c r="G18" s="252" t="s">
        <v>250</v>
      </c>
      <c r="H18" s="263">
        <v>2.65</v>
      </c>
      <c r="I18" s="373" t="s">
        <v>382</v>
      </c>
      <c r="J18" s="250"/>
      <c r="K18" s="250"/>
      <c r="L18" s="118"/>
      <c r="M18" s="67"/>
      <c r="N18" s="71"/>
      <c r="O18" s="346"/>
      <c r="P18" s="270"/>
      <c r="Q18" s="71"/>
      <c r="R18" s="71"/>
      <c r="S18" s="71"/>
      <c r="T18" s="71"/>
      <c r="U18" s="66"/>
      <c r="V18" s="66"/>
      <c r="W18" s="66"/>
      <c r="X18" s="66"/>
      <c r="Y18" s="66"/>
      <c r="Z18" s="85"/>
      <c r="AA18" s="66"/>
      <c r="AB18" s="66"/>
      <c r="AC18" s="66"/>
      <c r="AD18" s="66"/>
      <c r="AE18" s="66"/>
      <c r="AF18" s="66"/>
      <c r="AG18" s="66"/>
      <c r="AH18" s="66"/>
      <c r="AI18" s="66"/>
      <c r="AJ18" s="66"/>
    </row>
    <row r="19" spans="1:36" x14ac:dyDescent="0.25">
      <c r="A19" s="255" t="s">
        <v>234</v>
      </c>
      <c r="B19" s="258">
        <v>0.6</v>
      </c>
      <c r="C19" s="373" t="s">
        <v>376</v>
      </c>
      <c r="D19" s="244"/>
      <c r="E19" s="244"/>
      <c r="F19" s="118"/>
      <c r="G19" s="252" t="s">
        <v>229</v>
      </c>
      <c r="H19" s="263">
        <v>260</v>
      </c>
      <c r="I19" s="373" t="s">
        <v>383</v>
      </c>
      <c r="J19" s="250"/>
      <c r="K19" s="250"/>
      <c r="L19" s="118"/>
      <c r="M19" s="67"/>
      <c r="N19" s="271"/>
      <c r="O19" s="271"/>
      <c r="P19" s="271"/>
      <c r="Q19" s="71"/>
      <c r="R19" s="71"/>
      <c r="S19" s="71"/>
      <c r="T19" s="71"/>
      <c r="U19" s="66"/>
      <c r="V19" s="66"/>
      <c r="W19" s="66"/>
      <c r="X19" s="66"/>
      <c r="Y19" s="66"/>
      <c r="Z19" s="85"/>
      <c r="AA19" s="66"/>
      <c r="AB19" s="66"/>
      <c r="AC19" s="66"/>
      <c r="AD19" s="66"/>
      <c r="AE19" s="66"/>
      <c r="AF19" s="66"/>
      <c r="AG19" s="66"/>
      <c r="AH19" s="66"/>
      <c r="AI19" s="66"/>
      <c r="AJ19" s="66"/>
    </row>
    <row r="20" spans="1:36" x14ac:dyDescent="0.25">
      <c r="A20" s="64"/>
      <c r="B20" s="76"/>
      <c r="C20" s="67"/>
      <c r="D20" s="67"/>
      <c r="E20" s="64"/>
      <c r="F20" s="118"/>
      <c r="G20" s="252" t="s">
        <v>230</v>
      </c>
      <c r="H20" s="263">
        <v>2.5000000000000001E-2</v>
      </c>
      <c r="I20" s="373" t="s">
        <v>384</v>
      </c>
      <c r="J20" s="118"/>
      <c r="K20" s="118"/>
      <c r="L20" s="118"/>
      <c r="M20" s="70"/>
      <c r="N20" s="271"/>
      <c r="O20" s="347"/>
      <c r="P20" s="348"/>
      <c r="Q20" s="71"/>
      <c r="R20" s="71"/>
      <c r="S20" s="71"/>
      <c r="T20" s="71"/>
      <c r="U20" s="66"/>
      <c r="V20" s="66"/>
      <c r="W20" s="66"/>
      <c r="X20" s="66"/>
      <c r="Y20" s="66"/>
      <c r="Z20" s="85"/>
      <c r="AA20" s="66"/>
      <c r="AB20" s="66"/>
      <c r="AC20" s="66"/>
      <c r="AD20" s="66"/>
      <c r="AE20" s="66"/>
      <c r="AF20" s="66"/>
      <c r="AG20" s="66"/>
      <c r="AH20" s="66"/>
      <c r="AI20" s="66"/>
      <c r="AJ20" s="66"/>
    </row>
    <row r="21" spans="1:36" x14ac:dyDescent="0.25">
      <c r="A21" s="242"/>
      <c r="B21" s="242"/>
      <c r="C21" s="242"/>
      <c r="D21" s="242"/>
      <c r="E21" s="242"/>
      <c r="F21" s="118"/>
      <c r="G21" s="118"/>
      <c r="H21" s="118"/>
      <c r="I21" s="118"/>
      <c r="J21" s="118"/>
      <c r="K21" s="67"/>
      <c r="L21" s="67"/>
      <c r="M21" s="70"/>
      <c r="N21" s="271"/>
      <c r="O21" s="347"/>
      <c r="P21" s="348"/>
      <c r="Q21" s="71"/>
      <c r="R21" s="71"/>
      <c r="S21" s="71"/>
      <c r="T21" s="71"/>
      <c r="U21" s="66"/>
      <c r="V21" s="66"/>
      <c r="W21" s="66"/>
      <c r="X21" s="66"/>
      <c r="Y21" s="66"/>
      <c r="Z21" s="85"/>
      <c r="AA21" s="66"/>
      <c r="AB21" s="66"/>
      <c r="AC21" s="66"/>
      <c r="AD21" s="66"/>
      <c r="AE21" s="66"/>
      <c r="AF21" s="66"/>
      <c r="AG21" s="66"/>
      <c r="AH21" s="66"/>
      <c r="AI21" s="66"/>
      <c r="AJ21" s="66"/>
    </row>
    <row r="22" spans="1:36" ht="16.2" x14ac:dyDescent="0.25">
      <c r="A22" s="254" t="s">
        <v>235</v>
      </c>
      <c r="B22" s="260">
        <v>2.6</v>
      </c>
      <c r="C22" s="373" t="s">
        <v>357</v>
      </c>
      <c r="D22" s="300"/>
      <c r="E22" s="300"/>
      <c r="F22" s="118"/>
      <c r="G22" s="118"/>
      <c r="H22" s="118"/>
      <c r="I22" s="118"/>
      <c r="J22" s="118"/>
      <c r="K22" s="67"/>
      <c r="L22" s="67"/>
      <c r="M22" s="70"/>
      <c r="N22" s="271"/>
      <c r="O22" s="347"/>
      <c r="P22" s="348"/>
      <c r="Q22" s="71"/>
      <c r="R22" s="71"/>
      <c r="S22" s="71"/>
      <c r="T22" s="71"/>
      <c r="U22" s="66"/>
      <c r="V22" s="66"/>
      <c r="W22" s="66"/>
      <c r="X22" s="66"/>
      <c r="Y22" s="66"/>
      <c r="Z22" s="85"/>
      <c r="AA22" s="66"/>
      <c r="AB22" s="66"/>
      <c r="AC22" s="66"/>
      <c r="AD22" s="66"/>
      <c r="AE22" s="66"/>
      <c r="AF22" s="66"/>
      <c r="AG22" s="66"/>
      <c r="AH22" s="66"/>
      <c r="AI22" s="66"/>
      <c r="AJ22" s="66"/>
    </row>
    <row r="23" spans="1:36" x14ac:dyDescent="0.25">
      <c r="A23" s="254" t="s">
        <v>237</v>
      </c>
      <c r="B23" s="261">
        <v>1.1000000000000001</v>
      </c>
      <c r="C23" s="373" t="s">
        <v>358</v>
      </c>
      <c r="D23" s="300"/>
      <c r="E23" s="300"/>
      <c r="F23" s="300"/>
      <c r="G23" s="64"/>
      <c r="H23" s="118"/>
      <c r="I23" s="118"/>
      <c r="J23" s="118"/>
      <c r="K23" s="67"/>
      <c r="L23" s="67"/>
      <c r="M23" s="70"/>
      <c r="N23" s="271"/>
      <c r="O23" s="347"/>
      <c r="P23" s="348"/>
      <c r="Q23" s="71"/>
      <c r="R23" s="71"/>
      <c r="S23" s="71"/>
      <c r="T23" s="71"/>
      <c r="U23" s="66"/>
      <c r="V23" s="66"/>
      <c r="W23" s="66"/>
      <c r="X23" s="66"/>
      <c r="Y23" s="66"/>
      <c r="Z23" s="85"/>
      <c r="AA23" s="66"/>
      <c r="AB23" s="66"/>
      <c r="AC23" s="66"/>
      <c r="AD23" s="66"/>
      <c r="AE23" s="66"/>
      <c r="AF23" s="66"/>
      <c r="AG23" s="66"/>
      <c r="AH23" s="66"/>
      <c r="AI23" s="66"/>
      <c r="AJ23" s="66"/>
    </row>
    <row r="24" spans="1:36" x14ac:dyDescent="0.25">
      <c r="A24" s="254" t="s">
        <v>238</v>
      </c>
      <c r="B24" s="274">
        <v>3.8000000000000002E-4</v>
      </c>
      <c r="C24" s="373" t="s">
        <v>359</v>
      </c>
      <c r="D24" s="300"/>
      <c r="E24" s="300"/>
      <c r="F24" s="300"/>
      <c r="G24" s="64"/>
      <c r="H24" s="64"/>
      <c r="I24" s="68"/>
      <c r="J24" s="70"/>
      <c r="K24" s="75"/>
      <c r="L24" s="70"/>
      <c r="M24" s="70"/>
      <c r="N24" s="271"/>
      <c r="O24" s="347"/>
      <c r="P24" s="348"/>
      <c r="Q24" s="71"/>
      <c r="R24" s="71"/>
      <c r="S24" s="71"/>
      <c r="T24" s="71"/>
      <c r="U24" s="66"/>
      <c r="V24" s="66"/>
      <c r="W24" s="66"/>
      <c r="X24" s="66"/>
      <c r="Y24" s="66"/>
      <c r="Z24" s="85"/>
      <c r="AA24" s="66"/>
      <c r="AB24" s="66"/>
      <c r="AC24" s="66"/>
      <c r="AD24" s="66"/>
      <c r="AE24" s="66"/>
      <c r="AF24" s="66"/>
      <c r="AG24" s="66"/>
      <c r="AH24" s="66"/>
      <c r="AI24" s="66"/>
      <c r="AJ24" s="66"/>
    </row>
    <row r="25" spans="1:36" ht="16.2" x14ac:dyDescent="0.25">
      <c r="A25" s="254" t="s">
        <v>236</v>
      </c>
      <c r="B25" s="243">
        <v>0</v>
      </c>
      <c r="C25" s="373" t="s">
        <v>377</v>
      </c>
      <c r="D25" s="373"/>
      <c r="E25" s="373"/>
      <c r="F25" s="300"/>
      <c r="G25" s="64"/>
      <c r="H25" s="64"/>
      <c r="I25" s="68"/>
      <c r="J25" s="68"/>
      <c r="K25" s="75"/>
      <c r="L25" s="68"/>
      <c r="M25" s="68"/>
      <c r="N25" s="271"/>
      <c r="O25" s="349"/>
      <c r="P25" s="348"/>
      <c r="Q25" s="312"/>
      <c r="R25" s="77"/>
      <c r="S25" s="77"/>
      <c r="T25" s="71"/>
      <c r="U25" s="66"/>
      <c r="V25" s="66"/>
      <c r="W25" s="66"/>
      <c r="X25" s="66"/>
      <c r="Y25" s="66"/>
      <c r="Z25" s="85"/>
      <c r="AA25" s="66"/>
      <c r="AB25" s="66"/>
      <c r="AC25" s="66"/>
      <c r="AD25" s="66"/>
      <c r="AE25" s="66"/>
      <c r="AF25" s="66"/>
      <c r="AG25" s="66"/>
      <c r="AH25" s="66"/>
      <c r="AI25" s="66"/>
      <c r="AJ25" s="66"/>
    </row>
    <row r="26" spans="1:36" ht="15.6" x14ac:dyDescent="0.25">
      <c r="A26" s="299"/>
      <c r="B26" s="69"/>
      <c r="C26" s="423"/>
      <c r="D26" s="423"/>
      <c r="E26" s="423"/>
      <c r="F26" s="423"/>
      <c r="G26" s="64"/>
      <c r="H26" s="64"/>
      <c r="I26" s="78"/>
      <c r="J26" s="79"/>
      <c r="K26" s="79"/>
      <c r="L26" s="79"/>
      <c r="M26" s="79"/>
      <c r="N26" s="271"/>
      <c r="O26" s="347"/>
      <c r="P26" s="348"/>
      <c r="Q26" s="66"/>
      <c r="R26" s="66"/>
      <c r="S26" s="66"/>
      <c r="T26" s="66"/>
      <c r="U26" s="66"/>
      <c r="V26" s="66"/>
      <c r="W26" s="66"/>
      <c r="X26" s="66"/>
      <c r="Y26" s="66"/>
      <c r="Z26" s="85"/>
      <c r="AA26" s="66"/>
      <c r="AB26" s="66"/>
      <c r="AC26" s="66"/>
      <c r="AD26" s="66"/>
      <c r="AE26" s="66"/>
      <c r="AF26" s="66"/>
      <c r="AG26" s="66"/>
      <c r="AH26" s="66"/>
      <c r="AI26" s="66"/>
      <c r="AJ26" s="66"/>
    </row>
    <row r="27" spans="1:36" ht="15" customHeight="1" x14ac:dyDescent="0.25">
      <c r="A27" s="64"/>
      <c r="B27" s="64"/>
      <c r="C27" s="64"/>
      <c r="D27" s="64"/>
      <c r="E27" s="64"/>
      <c r="F27" s="64"/>
      <c r="G27" s="64"/>
      <c r="H27" s="64"/>
      <c r="I27" s="64"/>
      <c r="J27" s="64"/>
      <c r="K27" s="64"/>
      <c r="L27" s="64"/>
      <c r="M27" s="64"/>
      <c r="N27" s="271"/>
      <c r="O27" s="347"/>
      <c r="P27" s="348"/>
      <c r="Q27" s="66"/>
      <c r="R27" s="272"/>
      <c r="S27" s="66"/>
      <c r="T27" s="66"/>
      <c r="U27" s="66"/>
      <c r="V27" s="66"/>
      <c r="W27" s="66"/>
      <c r="X27" s="66"/>
      <c r="Y27" s="66"/>
      <c r="Z27" s="85"/>
      <c r="AA27" s="66"/>
      <c r="AB27" s="66"/>
      <c r="AC27" s="66"/>
      <c r="AD27" s="66"/>
      <c r="AE27" s="66"/>
      <c r="AF27" s="66"/>
      <c r="AG27" s="66"/>
      <c r="AH27" s="66"/>
      <c r="AI27" s="66"/>
      <c r="AJ27" s="66"/>
    </row>
    <row r="28" spans="1:36" x14ac:dyDescent="0.25">
      <c r="A28" s="64"/>
      <c r="B28" s="64"/>
      <c r="C28" s="64"/>
      <c r="D28" s="64"/>
      <c r="E28" s="64"/>
      <c r="F28" s="64"/>
      <c r="G28" s="64"/>
      <c r="H28" s="64"/>
      <c r="I28" s="64"/>
      <c r="J28" s="64"/>
      <c r="K28" s="64"/>
      <c r="L28" s="64"/>
      <c r="M28" s="64"/>
      <c r="N28" s="66"/>
      <c r="O28" s="347"/>
      <c r="P28" s="348"/>
      <c r="Q28" s="66"/>
      <c r="R28" s="66"/>
      <c r="S28" s="66"/>
      <c r="T28" s="66"/>
      <c r="U28" s="66"/>
      <c r="V28" s="66"/>
      <c r="W28" s="66"/>
      <c r="X28" s="66"/>
      <c r="Y28" s="66"/>
      <c r="Z28" s="85"/>
      <c r="AA28" s="66"/>
      <c r="AB28" s="66"/>
      <c r="AC28" s="66"/>
      <c r="AD28" s="66"/>
      <c r="AE28" s="66"/>
      <c r="AF28" s="66"/>
      <c r="AG28" s="66"/>
      <c r="AH28" s="66"/>
      <c r="AI28" s="66"/>
      <c r="AJ28" s="66"/>
    </row>
    <row r="29" spans="1:36" ht="16.8" x14ac:dyDescent="0.25">
      <c r="A29" s="64"/>
      <c r="B29" s="282" t="s">
        <v>281</v>
      </c>
      <c r="C29" s="314">
        <f>MAX(AK58:AK500)-MAX(AL58:AL500)</f>
        <v>7.8228309841442609</v>
      </c>
      <c r="D29" s="81" t="s">
        <v>282</v>
      </c>
      <c r="E29" s="427" t="s">
        <v>389</v>
      </c>
      <c r="F29" s="427"/>
      <c r="G29" s="300">
        <f>MAX(F61:F748)</f>
        <v>73.542190737823333</v>
      </c>
      <c r="H29" s="64"/>
      <c r="I29" s="64"/>
      <c r="J29" s="64"/>
      <c r="K29" s="64"/>
      <c r="L29" s="64"/>
      <c r="M29" s="64"/>
      <c r="N29" s="66"/>
      <c r="O29" s="347"/>
      <c r="P29" s="348"/>
      <c r="Q29" s="66"/>
      <c r="R29" s="66"/>
      <c r="S29" s="66"/>
      <c r="T29" s="66"/>
      <c r="U29" s="66"/>
      <c r="V29" s="66"/>
      <c r="W29" s="66"/>
      <c r="X29" s="66"/>
      <c r="Y29" s="66"/>
      <c r="Z29" s="85"/>
      <c r="AA29" s="66"/>
      <c r="AB29" s="66"/>
      <c r="AC29" s="66"/>
      <c r="AD29" s="66"/>
      <c r="AE29" s="66"/>
      <c r="AF29" s="66"/>
      <c r="AG29" s="66"/>
      <c r="AH29" s="66"/>
      <c r="AI29" s="66"/>
      <c r="AJ29" s="66"/>
    </row>
    <row r="30" spans="1:36" ht="16.8" x14ac:dyDescent="0.25">
      <c r="A30" s="64"/>
      <c r="B30" s="281" t="s">
        <v>248</v>
      </c>
      <c r="C30" s="80">
        <f>MAX(G56:G500)</f>
        <v>3867.8684067233403</v>
      </c>
      <c r="D30" s="313" t="s">
        <v>119</v>
      </c>
      <c r="E30" s="427" t="s">
        <v>387</v>
      </c>
      <c r="F30" s="427"/>
      <c r="G30" s="284">
        <f>MAX(D61:D708)</f>
        <v>8.7521280120104592</v>
      </c>
      <c r="H30" s="64"/>
      <c r="I30" s="64"/>
      <c r="J30" s="64"/>
      <c r="K30" s="64"/>
      <c r="L30" s="64"/>
      <c r="M30" s="64"/>
      <c r="N30" s="66"/>
      <c r="O30" s="349"/>
      <c r="P30" s="348"/>
      <c r="Q30" s="66"/>
      <c r="R30" s="66"/>
      <c r="S30" s="66"/>
      <c r="T30" s="66"/>
      <c r="U30" s="66"/>
      <c r="V30" s="66"/>
      <c r="W30" s="66"/>
      <c r="X30" s="66"/>
      <c r="Y30" s="66"/>
      <c r="Z30" s="85"/>
      <c r="AA30" s="66"/>
      <c r="AB30" s="66"/>
      <c r="AC30" s="66"/>
      <c r="AD30" s="66"/>
      <c r="AE30" s="66"/>
      <c r="AF30" s="66"/>
      <c r="AG30" s="66"/>
      <c r="AH30" s="66"/>
      <c r="AI30" s="66"/>
      <c r="AJ30" s="66"/>
    </row>
    <row r="31" spans="1:36" ht="16.2" x14ac:dyDescent="0.25">
      <c r="A31" s="64"/>
      <c r="B31" s="282" t="s">
        <v>249</v>
      </c>
      <c r="C31" s="314">
        <f>INDEX(AJ62:AJ2078,MATCH(MAX(G62:G2078),G62:G2078,0))</f>
        <v>1.7021558402934942</v>
      </c>
      <c r="D31" s="81" t="s">
        <v>6</v>
      </c>
      <c r="E31" s="427" t="s">
        <v>388</v>
      </c>
      <c r="F31" s="427"/>
      <c r="G31" s="284"/>
      <c r="H31" s="64"/>
      <c r="I31" s="64"/>
      <c r="J31" s="64"/>
      <c r="K31" s="64"/>
      <c r="L31" s="64"/>
      <c r="M31" s="64"/>
      <c r="N31" s="66"/>
      <c r="O31" s="349"/>
      <c r="P31" s="348"/>
      <c r="Q31" s="66"/>
      <c r="R31" s="66"/>
      <c r="S31" s="66"/>
      <c r="T31" s="66"/>
      <c r="U31" s="66"/>
      <c r="V31" s="66"/>
      <c r="W31" s="66"/>
      <c r="X31" s="66"/>
      <c r="Y31" s="66"/>
      <c r="Z31" s="85"/>
      <c r="AA31" s="66"/>
      <c r="AB31" s="66"/>
      <c r="AC31" s="66"/>
      <c r="AD31" s="66"/>
      <c r="AE31" s="66"/>
      <c r="AF31" s="66"/>
      <c r="AG31" s="66"/>
      <c r="AH31" s="66"/>
      <c r="AI31" s="66"/>
      <c r="AJ31" s="66"/>
    </row>
    <row r="32" spans="1:36" ht="18" customHeight="1" x14ac:dyDescent="0.25">
      <c r="A32" s="64"/>
      <c r="B32" s="283" t="s">
        <v>239</v>
      </c>
      <c r="C32" s="126">
        <f>err(B8,B11,B12)</f>
        <v>4.5401560567831997E-3</v>
      </c>
      <c r="D32" s="127"/>
      <c r="E32" s="427" t="s">
        <v>390</v>
      </c>
      <c r="F32" s="427"/>
      <c r="G32" s="64"/>
      <c r="H32" s="64"/>
      <c r="I32" s="64"/>
      <c r="J32" s="64"/>
      <c r="K32" s="64"/>
      <c r="L32" s="64"/>
      <c r="M32" s="64"/>
      <c r="N32" s="66"/>
      <c r="O32" s="349"/>
      <c r="P32" s="348"/>
      <c r="Q32" s="66"/>
      <c r="R32" s="66"/>
      <c r="S32" s="66"/>
      <c r="T32" s="66"/>
      <c r="U32" s="66"/>
      <c r="V32" s="66"/>
      <c r="W32" s="66"/>
      <c r="X32" s="66"/>
      <c r="Y32" s="66"/>
      <c r="Z32" s="85"/>
      <c r="AA32" s="66"/>
      <c r="AB32" s="66"/>
      <c r="AC32" s="66"/>
      <c r="AD32" s="66"/>
      <c r="AE32" s="66"/>
      <c r="AF32" s="66"/>
      <c r="AG32" s="66"/>
      <c r="AH32" s="66"/>
      <c r="AI32" s="66"/>
      <c r="AJ32" s="66"/>
    </row>
    <row r="33" spans="1:36" ht="25.5" customHeight="1" x14ac:dyDescent="0.25">
      <c r="A33" s="64"/>
      <c r="B33" s="253"/>
      <c r="C33" s="70"/>
      <c r="D33" s="358"/>
      <c r="E33" s="428"/>
      <c r="F33" s="428"/>
      <c r="G33" s="64"/>
      <c r="H33" s="64"/>
      <c r="I33" s="64"/>
      <c r="J33" s="64"/>
      <c r="K33" s="64"/>
      <c r="L33" s="64"/>
      <c r="M33" s="64"/>
      <c r="N33" s="66"/>
      <c r="O33" s="347"/>
      <c r="P33" s="348"/>
      <c r="Q33" s="66"/>
      <c r="R33" s="66"/>
      <c r="S33" s="66"/>
      <c r="T33" s="66"/>
      <c r="U33" s="66"/>
      <c r="V33" s="66"/>
      <c r="W33" s="66"/>
      <c r="X33" s="66"/>
      <c r="Y33" s="66"/>
      <c r="Z33" s="85"/>
      <c r="AA33" s="66"/>
      <c r="AB33" s="66"/>
      <c r="AC33" s="66"/>
      <c r="AD33" s="66"/>
      <c r="AE33" s="66"/>
      <c r="AF33" s="66"/>
      <c r="AG33" s="66"/>
      <c r="AH33" s="66"/>
      <c r="AI33" s="66"/>
      <c r="AJ33" s="66"/>
    </row>
    <row r="34" spans="1:36" ht="21.75" customHeight="1" x14ac:dyDescent="0.25">
      <c r="A34" s="64"/>
      <c r="B34" s="64"/>
      <c r="C34" s="64"/>
      <c r="D34" s="64"/>
      <c r="E34" s="64"/>
      <c r="F34" s="64"/>
      <c r="G34" s="64"/>
      <c r="H34" s="64"/>
      <c r="I34" s="64"/>
      <c r="J34" s="64"/>
      <c r="K34" s="64"/>
      <c r="L34" s="64"/>
      <c r="M34" s="64"/>
      <c r="N34" s="66" t="s">
        <v>277</v>
      </c>
      <c r="O34" s="347"/>
      <c r="P34" s="348"/>
      <c r="Q34" s="66"/>
      <c r="R34" s="66"/>
      <c r="S34" s="66"/>
      <c r="T34" s="66"/>
      <c r="U34" s="66"/>
      <c r="V34" s="66"/>
      <c r="W34" s="66"/>
      <c r="X34" s="66"/>
      <c r="Y34" s="66"/>
      <c r="Z34" s="85"/>
      <c r="AA34" s="66"/>
      <c r="AB34" s="66"/>
      <c r="AC34" s="66"/>
      <c r="AD34" s="66"/>
      <c r="AE34" s="66"/>
      <c r="AF34" s="66"/>
      <c r="AG34" s="66"/>
      <c r="AH34" s="66"/>
      <c r="AI34" s="66"/>
      <c r="AJ34" s="66"/>
    </row>
    <row r="35" spans="1:36" x14ac:dyDescent="0.25">
      <c r="A35" s="64"/>
      <c r="B35" s="64"/>
      <c r="C35" s="64"/>
      <c r="D35" s="64"/>
      <c r="E35" s="64"/>
      <c r="F35" s="64"/>
      <c r="G35" s="64"/>
      <c r="H35" s="64"/>
      <c r="I35" s="64"/>
      <c r="J35" s="64"/>
      <c r="K35" s="67"/>
      <c r="L35" s="64"/>
      <c r="M35" s="64"/>
      <c r="N35" s="66"/>
      <c r="O35" s="66"/>
      <c r="P35" s="66"/>
      <c r="Q35" s="66"/>
      <c r="R35" s="66"/>
      <c r="S35" s="66"/>
      <c r="T35" s="66"/>
      <c r="U35" s="66"/>
      <c r="V35" s="66"/>
      <c r="W35" s="66"/>
      <c r="X35" s="66"/>
      <c r="Y35" s="66"/>
      <c r="Z35" s="85"/>
      <c r="AA35" s="66"/>
      <c r="AB35" s="66"/>
      <c r="AC35" s="66"/>
      <c r="AD35" s="66"/>
      <c r="AE35" s="66"/>
      <c r="AF35" s="66"/>
      <c r="AG35" s="66"/>
      <c r="AH35" s="66"/>
      <c r="AI35" s="66"/>
      <c r="AJ35" s="66"/>
    </row>
    <row r="36" spans="1:36" ht="22.5" customHeight="1" x14ac:dyDescent="0.25">
      <c r="A36" s="64"/>
      <c r="B36" s="64"/>
      <c r="C36" s="64"/>
      <c r="D36" s="64"/>
      <c r="E36" s="64"/>
      <c r="F36" s="64"/>
      <c r="G36" s="64"/>
      <c r="H36" s="64"/>
      <c r="I36" s="64"/>
      <c r="J36" s="64"/>
      <c r="K36" s="64"/>
      <c r="L36" s="64"/>
      <c r="M36" s="64"/>
      <c r="N36" s="66"/>
      <c r="O36" s="66"/>
      <c r="P36" s="66"/>
      <c r="Q36" s="66"/>
      <c r="R36" s="66"/>
      <c r="S36" s="66"/>
      <c r="T36" s="66"/>
      <c r="U36" s="66"/>
      <c r="V36" s="66"/>
      <c r="W36" s="66"/>
      <c r="X36" s="66"/>
      <c r="Y36" s="66"/>
      <c r="Z36" s="85"/>
      <c r="AA36" s="66"/>
      <c r="AB36" s="66"/>
      <c r="AC36" s="66"/>
      <c r="AD36" s="66"/>
      <c r="AE36" s="66"/>
      <c r="AF36" s="66"/>
      <c r="AG36" s="66"/>
      <c r="AH36" s="66"/>
      <c r="AI36" s="66"/>
      <c r="AJ36" s="66"/>
    </row>
    <row r="37" spans="1:36" x14ac:dyDescent="0.25">
      <c r="A37" s="64"/>
      <c r="B37" s="64"/>
      <c r="C37" s="64"/>
      <c r="D37" s="64"/>
      <c r="E37" s="64"/>
      <c r="F37" s="64"/>
      <c r="G37" s="64"/>
      <c r="H37" s="64"/>
      <c r="I37" s="64"/>
      <c r="J37" s="64"/>
      <c r="K37" s="64"/>
      <c r="L37" s="64"/>
      <c r="M37" s="64"/>
      <c r="N37" s="66"/>
      <c r="O37" s="66"/>
      <c r="P37" s="66"/>
      <c r="Q37" s="66"/>
      <c r="R37" s="66"/>
      <c r="S37" s="66"/>
      <c r="T37" s="66"/>
      <c r="U37" s="66"/>
      <c r="V37" s="66"/>
      <c r="W37" s="66"/>
      <c r="X37" s="66"/>
      <c r="Y37" s="66"/>
      <c r="Z37" s="85"/>
      <c r="AA37" s="66"/>
      <c r="AB37" s="66"/>
      <c r="AC37" s="66"/>
      <c r="AD37" s="66"/>
      <c r="AE37" s="66"/>
      <c r="AF37" s="66"/>
      <c r="AG37" s="66"/>
      <c r="AH37" s="66"/>
      <c r="AI37" s="66"/>
      <c r="AJ37" s="66"/>
    </row>
    <row r="38" spans="1:36" ht="20.25" customHeight="1" x14ac:dyDescent="0.25">
      <c r="A38" s="64"/>
      <c r="B38" s="64"/>
      <c r="C38" s="64"/>
      <c r="D38" s="64"/>
      <c r="E38" s="64"/>
      <c r="F38" s="64"/>
      <c r="G38" s="64"/>
      <c r="H38" s="64"/>
      <c r="I38" s="64"/>
      <c r="J38" s="64"/>
      <c r="K38" s="64"/>
      <c r="L38" s="64"/>
      <c r="M38" s="64"/>
      <c r="N38" s="66"/>
      <c r="O38" s="66"/>
      <c r="P38" s="66"/>
      <c r="Q38" s="66"/>
      <c r="R38" s="66"/>
      <c r="S38" s="66"/>
      <c r="T38" s="66"/>
      <c r="U38" s="66"/>
      <c r="V38" s="66"/>
      <c r="W38" s="66"/>
      <c r="X38" s="66"/>
      <c r="Y38" s="66"/>
      <c r="Z38" s="85"/>
      <c r="AA38" s="66"/>
      <c r="AB38" s="66"/>
      <c r="AC38" s="66"/>
      <c r="AD38" s="66"/>
      <c r="AE38" s="66"/>
      <c r="AF38" s="66"/>
      <c r="AG38" s="66"/>
      <c r="AH38" s="66"/>
      <c r="AI38" s="66"/>
      <c r="AJ38" s="66"/>
    </row>
    <row r="39" spans="1:36" x14ac:dyDescent="0.25">
      <c r="A39" s="64"/>
      <c r="B39" s="64"/>
      <c r="C39" s="64"/>
      <c r="D39" s="64"/>
      <c r="E39" s="64"/>
      <c r="F39" s="64"/>
      <c r="G39" s="64"/>
      <c r="H39" s="64"/>
      <c r="I39" s="64"/>
      <c r="J39" s="64"/>
      <c r="K39" s="64"/>
      <c r="L39" s="64"/>
      <c r="M39" s="64"/>
      <c r="N39" s="66"/>
      <c r="O39" s="66"/>
      <c r="P39" s="66"/>
      <c r="Q39" s="66"/>
      <c r="R39" s="66"/>
      <c r="S39" s="66"/>
      <c r="T39" s="66"/>
      <c r="U39" s="66"/>
      <c r="V39" s="66"/>
      <c r="W39" s="66"/>
      <c r="X39" s="66"/>
      <c r="Y39" s="66"/>
      <c r="Z39" s="85"/>
      <c r="AA39" s="66"/>
      <c r="AB39" s="66"/>
      <c r="AC39" s="66"/>
      <c r="AD39" s="66"/>
      <c r="AE39" s="66"/>
      <c r="AF39" s="66"/>
      <c r="AG39" s="66"/>
      <c r="AH39" s="66"/>
      <c r="AI39" s="66"/>
      <c r="AJ39" s="66"/>
    </row>
    <row r="40" spans="1:36" ht="23.25" customHeight="1" x14ac:dyDescent="0.25">
      <c r="A40" s="64"/>
      <c r="B40" s="64"/>
      <c r="C40" s="64"/>
      <c r="D40" s="64"/>
      <c r="E40" s="64"/>
      <c r="F40" s="64"/>
      <c r="G40" s="64"/>
      <c r="H40" s="64"/>
      <c r="I40" s="64"/>
      <c r="J40" s="64"/>
      <c r="K40" s="64"/>
      <c r="L40" s="64"/>
      <c r="M40" s="64"/>
      <c r="N40" s="66"/>
      <c r="O40" s="66"/>
      <c r="P40" s="66"/>
      <c r="Q40" s="66"/>
      <c r="R40" s="66"/>
      <c r="S40" s="66"/>
      <c r="T40" s="66"/>
      <c r="U40" s="66"/>
      <c r="V40" s="66"/>
      <c r="W40" s="66"/>
      <c r="X40" s="66"/>
      <c r="Y40" s="66"/>
      <c r="Z40" s="85"/>
      <c r="AA40" s="66"/>
      <c r="AB40" s="66"/>
      <c r="AC40" s="66"/>
      <c r="AD40" s="66"/>
      <c r="AE40" s="66"/>
      <c r="AF40" s="66"/>
      <c r="AG40" s="66"/>
      <c r="AH40" s="66"/>
      <c r="AI40" s="66"/>
      <c r="AJ40" s="66"/>
    </row>
    <row r="41" spans="1:36" ht="21.75" customHeight="1" x14ac:dyDescent="0.25">
      <c r="A41" s="64"/>
      <c r="B41" s="64"/>
      <c r="C41" s="64"/>
      <c r="D41" s="64"/>
      <c r="E41" s="64"/>
      <c r="F41" s="64"/>
      <c r="G41" s="64"/>
      <c r="H41" s="64"/>
      <c r="I41" s="64"/>
      <c r="J41" s="64"/>
      <c r="K41" s="64"/>
      <c r="L41" s="64"/>
      <c r="M41" s="64"/>
      <c r="N41" s="66"/>
      <c r="O41" s="66"/>
      <c r="P41" s="66"/>
      <c r="Q41" s="66"/>
      <c r="R41" s="66"/>
      <c r="S41" s="66"/>
      <c r="T41" s="66"/>
      <c r="U41" s="66"/>
      <c r="V41" s="66"/>
      <c r="W41" s="66"/>
      <c r="X41" s="66"/>
      <c r="Y41" s="66"/>
      <c r="Z41" s="85"/>
      <c r="AA41" s="66"/>
      <c r="AB41" s="66"/>
      <c r="AC41" s="66"/>
      <c r="AD41" s="66"/>
      <c r="AE41" s="66"/>
      <c r="AF41" s="66"/>
      <c r="AG41" s="66"/>
      <c r="AH41" s="66"/>
      <c r="AI41" s="66"/>
      <c r="AJ41" s="66"/>
    </row>
    <row r="42" spans="1:36" ht="21.75" customHeight="1" x14ac:dyDescent="0.25">
      <c r="A42" s="64"/>
      <c r="B42" s="64"/>
      <c r="C42" s="64"/>
      <c r="D42" s="64"/>
      <c r="E42" s="64"/>
      <c r="F42" s="64"/>
      <c r="G42" s="64"/>
      <c r="H42" s="64"/>
      <c r="I42" s="64"/>
      <c r="J42" s="64"/>
      <c r="K42" s="64"/>
      <c r="L42" s="64"/>
      <c r="M42" s="64"/>
      <c r="N42" s="66"/>
      <c r="O42" s="66"/>
      <c r="P42" s="66"/>
      <c r="Q42" s="66"/>
      <c r="R42" s="66"/>
      <c r="S42" s="66"/>
      <c r="T42" s="66"/>
      <c r="U42" s="66"/>
      <c r="V42" s="66"/>
      <c r="W42" s="66"/>
      <c r="X42" s="66"/>
      <c r="Y42" s="66"/>
      <c r="Z42" s="85"/>
      <c r="AA42" s="66"/>
      <c r="AB42" s="66"/>
      <c r="AC42" s="66"/>
      <c r="AD42" s="66"/>
      <c r="AE42" s="66"/>
      <c r="AF42" s="66"/>
      <c r="AG42" s="66"/>
      <c r="AH42" s="66"/>
      <c r="AI42" s="66"/>
      <c r="AJ42" s="66"/>
    </row>
    <row r="43" spans="1:36" ht="19.5" customHeight="1" x14ac:dyDescent="0.25">
      <c r="A43" s="64"/>
      <c r="B43" s="64"/>
      <c r="C43" s="64"/>
      <c r="D43" s="64"/>
      <c r="E43" s="64"/>
      <c r="F43" s="64"/>
      <c r="G43" s="64"/>
      <c r="H43" s="64"/>
      <c r="I43" s="64"/>
      <c r="J43" s="64"/>
      <c r="K43" s="64"/>
      <c r="L43" s="64"/>
      <c r="M43" s="64"/>
      <c r="N43" s="66"/>
      <c r="O43" s="66"/>
      <c r="P43" s="66"/>
      <c r="Q43" s="66"/>
      <c r="R43" s="66"/>
      <c r="S43" s="66"/>
      <c r="T43" s="66"/>
      <c r="U43" s="66"/>
      <c r="V43" s="66"/>
      <c r="W43" s="66"/>
      <c r="X43" s="66"/>
      <c r="Y43" s="66"/>
      <c r="Z43" s="85"/>
      <c r="AA43" s="66"/>
      <c r="AB43" s="66"/>
      <c r="AC43" s="66"/>
      <c r="AD43" s="66"/>
      <c r="AE43" s="66"/>
      <c r="AF43" s="66"/>
      <c r="AG43" s="66"/>
      <c r="AH43" s="66"/>
      <c r="AI43" s="66"/>
      <c r="AJ43" s="66"/>
    </row>
    <row r="44" spans="1:36" ht="31.5" customHeight="1" x14ac:dyDescent="0.25">
      <c r="A44" s="64"/>
      <c r="B44" s="64"/>
      <c r="C44" s="64"/>
      <c r="D44" s="64"/>
      <c r="E44" s="64"/>
      <c r="F44" s="64"/>
      <c r="G44" s="64"/>
      <c r="H44" s="64"/>
      <c r="I44" s="64"/>
      <c r="J44" s="64"/>
      <c r="K44" s="64"/>
      <c r="L44" s="64"/>
      <c r="M44" s="64"/>
      <c r="N44" s="66"/>
      <c r="O44" s="66"/>
      <c r="P44" s="66"/>
      <c r="Q44" s="66"/>
      <c r="R44" s="66"/>
      <c r="S44" s="66"/>
      <c r="T44" s="66"/>
      <c r="U44" s="66"/>
      <c r="V44" s="66"/>
      <c r="W44" s="66"/>
      <c r="X44" s="66"/>
      <c r="Y44" s="66"/>
      <c r="Z44" s="85"/>
      <c r="AA44" s="66"/>
      <c r="AB44" s="66"/>
      <c r="AC44" s="66"/>
      <c r="AD44" s="66"/>
      <c r="AE44" s="66"/>
      <c r="AF44" s="66"/>
      <c r="AG44" s="66"/>
      <c r="AH44" s="66"/>
      <c r="AI44" s="66"/>
      <c r="AJ44" s="66"/>
    </row>
    <row r="45" spans="1:36" ht="28.5" customHeight="1" x14ac:dyDescent="0.25">
      <c r="A45" s="64"/>
      <c r="B45" s="64"/>
      <c r="C45" s="64"/>
      <c r="D45" s="64"/>
      <c r="E45" s="64"/>
      <c r="F45" s="64"/>
      <c r="G45" s="64"/>
      <c r="H45" s="64"/>
      <c r="I45" s="64"/>
      <c r="J45" s="64"/>
      <c r="K45" s="64"/>
      <c r="L45" s="64"/>
      <c r="M45" s="64"/>
      <c r="N45" s="66"/>
      <c r="O45" s="66"/>
      <c r="P45" s="66"/>
      <c r="Q45" s="66"/>
      <c r="R45" s="66"/>
      <c r="S45" s="66"/>
      <c r="T45" s="66"/>
      <c r="U45" s="66"/>
      <c r="V45" s="66"/>
      <c r="W45" s="66"/>
      <c r="X45" s="66"/>
      <c r="Y45" s="66"/>
      <c r="Z45" s="85"/>
      <c r="AA45" s="66"/>
      <c r="AB45" s="66"/>
      <c r="AC45" s="66"/>
      <c r="AD45" s="66"/>
      <c r="AE45" s="66"/>
      <c r="AF45" s="66"/>
      <c r="AG45" s="66"/>
      <c r="AH45" s="66"/>
      <c r="AI45" s="66"/>
      <c r="AJ45" s="66"/>
    </row>
    <row r="46" spans="1:36" ht="26.25" customHeight="1" x14ac:dyDescent="0.25">
      <c r="A46" s="64"/>
      <c r="B46" s="64"/>
      <c r="C46" s="64"/>
      <c r="D46" s="64"/>
      <c r="E46" s="64"/>
      <c r="F46" s="64"/>
      <c r="G46" s="64"/>
      <c r="H46" s="64"/>
      <c r="I46" s="64"/>
      <c r="J46" s="64"/>
      <c r="K46" s="64"/>
      <c r="L46" s="64"/>
      <c r="M46" s="64"/>
      <c r="N46" s="66"/>
      <c r="O46" s="66">
        <f>TAN((175 - 90) * 3.141592 / 180)</f>
        <v>11.430011671703156</v>
      </c>
      <c r="P46" s="66"/>
      <c r="Q46" s="66"/>
      <c r="R46" s="66"/>
      <c r="S46" s="66"/>
      <c r="T46" s="66"/>
      <c r="U46" s="66"/>
      <c r="V46" s="66"/>
      <c r="W46" s="66"/>
      <c r="X46" s="66"/>
      <c r="Y46" s="66"/>
      <c r="Z46" s="85"/>
      <c r="AA46" s="66"/>
      <c r="AB46" s="66"/>
      <c r="AC46" s="66"/>
      <c r="AD46" s="66"/>
      <c r="AE46" s="66"/>
      <c r="AF46" s="66"/>
      <c r="AG46" s="66"/>
      <c r="AH46" s="66"/>
      <c r="AI46" s="66"/>
      <c r="AJ46" s="66"/>
    </row>
    <row r="47" spans="1:36" ht="30" customHeight="1" x14ac:dyDescent="0.25">
      <c r="A47" s="64"/>
      <c r="B47" s="64"/>
      <c r="C47" s="424" t="s">
        <v>270</v>
      </c>
      <c r="D47" s="424"/>
      <c r="E47" s="64"/>
      <c r="F47" s="64"/>
      <c r="G47" s="64"/>
      <c r="H47" s="64"/>
      <c r="I47" s="424" t="s">
        <v>269</v>
      </c>
      <c r="J47" s="424"/>
      <c r="K47" s="64"/>
      <c r="L47" s="64"/>
      <c r="M47" s="64"/>
      <c r="N47" s="66"/>
      <c r="O47" s="66"/>
      <c r="P47" s="66"/>
      <c r="Q47" s="66"/>
      <c r="R47" s="66"/>
      <c r="S47" s="66"/>
      <c r="T47" s="66"/>
      <c r="U47" s="66"/>
      <c r="V47" s="66"/>
      <c r="W47" s="66"/>
      <c r="X47" s="66"/>
      <c r="Y47" s="66"/>
      <c r="Z47" s="85"/>
      <c r="AA47" s="66"/>
      <c r="AB47" s="66"/>
      <c r="AC47" s="66"/>
      <c r="AD47" s="66"/>
      <c r="AE47" s="66"/>
      <c r="AF47" s="66"/>
      <c r="AG47" s="66"/>
      <c r="AH47" s="66"/>
      <c r="AI47" s="66"/>
      <c r="AJ47" s="66"/>
    </row>
    <row r="48" spans="1:36" ht="21.75" customHeight="1" x14ac:dyDescent="0.25">
      <c r="A48" s="64"/>
      <c r="B48" s="64"/>
      <c r="C48" s="64"/>
      <c r="D48" s="64"/>
      <c r="E48" s="64"/>
      <c r="F48" s="64"/>
      <c r="G48" s="64"/>
      <c r="H48" s="64"/>
      <c r="I48" s="64"/>
      <c r="J48" s="64"/>
      <c r="K48" s="64"/>
      <c r="L48" s="64"/>
      <c r="M48" s="64"/>
      <c r="N48" s="66"/>
      <c r="O48" s="66"/>
      <c r="P48" s="66"/>
      <c r="Q48" s="66"/>
      <c r="R48" s="66"/>
      <c r="S48" s="66"/>
      <c r="T48" s="66"/>
      <c r="U48" s="66"/>
      <c r="V48" s="66"/>
      <c r="W48" s="66"/>
      <c r="X48" s="66"/>
      <c r="Y48" s="66"/>
      <c r="Z48" s="85"/>
      <c r="AA48" s="66"/>
      <c r="AB48" s="66"/>
      <c r="AC48" s="66"/>
      <c r="AD48" s="66"/>
      <c r="AE48" s="66"/>
      <c r="AF48" s="66"/>
      <c r="AG48" s="66"/>
      <c r="AH48" s="66"/>
      <c r="AI48" s="66"/>
      <c r="AJ48" s="66"/>
    </row>
    <row r="49" spans="1:53" ht="30" customHeight="1" thickBot="1" x14ac:dyDescent="0.3">
      <c r="A49" s="64"/>
      <c r="B49" s="64"/>
      <c r="C49" s="64"/>
      <c r="D49" s="64"/>
      <c r="E49" s="64"/>
      <c r="F49" s="64"/>
      <c r="G49" s="64"/>
      <c r="H49" s="64"/>
      <c r="I49" s="64"/>
      <c r="J49" s="64"/>
      <c r="K49" s="64"/>
      <c r="L49" s="64"/>
      <c r="M49" s="64"/>
      <c r="N49" s="66"/>
      <c r="O49" s="66"/>
      <c r="P49" s="66"/>
      <c r="Q49" s="66"/>
      <c r="R49" s="273"/>
      <c r="S49" s="66"/>
      <c r="T49" s="66"/>
      <c r="U49" s="66"/>
      <c r="V49" s="66"/>
      <c r="W49" s="66"/>
      <c r="X49" s="66"/>
      <c r="Y49" s="66"/>
      <c r="Z49" s="85"/>
      <c r="AA49" s="66"/>
      <c r="AB49" s="66"/>
      <c r="AC49" s="66"/>
      <c r="AD49" s="66"/>
      <c r="AE49" s="66"/>
      <c r="AF49" s="66"/>
      <c r="AG49" s="66"/>
      <c r="AH49" s="66"/>
      <c r="AI49" s="66"/>
      <c r="AJ49" s="66"/>
    </row>
    <row r="50" spans="1:53" x14ac:dyDescent="0.25">
      <c r="A50" s="82"/>
      <c r="B50" s="83"/>
      <c r="C50" s="83"/>
      <c r="D50" s="83"/>
      <c r="E50" s="83"/>
      <c r="F50" s="83"/>
      <c r="G50" s="83"/>
      <c r="H50" s="83"/>
      <c r="I50" s="83"/>
      <c r="J50" s="83"/>
      <c r="K50" s="83" t="s">
        <v>105</v>
      </c>
      <c r="L50" s="251">
        <f>B25</f>
        <v>0</v>
      </c>
      <c r="M50" s="83"/>
      <c r="N50" s="83"/>
      <c r="O50" s="83"/>
      <c r="P50" s="83"/>
      <c r="Q50" s="84"/>
      <c r="R50" s="92"/>
      <c r="S50" s="84"/>
      <c r="T50" s="120"/>
      <c r="U50" s="120"/>
      <c r="V50" s="120"/>
      <c r="W50" s="120"/>
      <c r="X50" s="120">
        <v>9</v>
      </c>
      <c r="Y50" s="120"/>
      <c r="Z50" s="121"/>
      <c r="AA50" s="121"/>
      <c r="AB50" s="121"/>
      <c r="AC50" s="121"/>
      <c r="AD50" s="121"/>
      <c r="AE50" s="121"/>
      <c r="AF50" s="121"/>
      <c r="AG50" s="121"/>
      <c r="AH50" s="85"/>
      <c r="AI50" s="85"/>
      <c r="AJ50" s="85"/>
      <c r="AK50" s="86"/>
    </row>
    <row r="51" spans="1:53" x14ac:dyDescent="0.25">
      <c r="A51" s="87"/>
      <c r="B51" s="88" t="s">
        <v>120</v>
      </c>
      <c r="C51" s="88">
        <f>B6</f>
        <v>1497.65</v>
      </c>
      <c r="D51" s="89"/>
      <c r="E51" s="88" t="s">
        <v>12</v>
      </c>
      <c r="F51" s="89">
        <f>B8</f>
        <v>1477.55</v>
      </c>
      <c r="G51" s="89" t="s">
        <v>13</v>
      </c>
      <c r="H51" s="89">
        <v>742.5</v>
      </c>
      <c r="I51" s="89"/>
      <c r="J51" s="90"/>
      <c r="K51" s="91" t="s">
        <v>10</v>
      </c>
      <c r="L51" s="89">
        <f>B22</f>
        <v>2.6</v>
      </c>
      <c r="M51" s="89"/>
      <c r="N51" s="89"/>
      <c r="O51" s="88" t="s">
        <v>7</v>
      </c>
      <c r="P51" s="89">
        <f>B17</f>
        <v>0.36</v>
      </c>
      <c r="Q51" s="90"/>
      <c r="R51" s="88" t="s">
        <v>43</v>
      </c>
      <c r="S51" s="89">
        <f>1-27.8*(P53-0.67)^3</f>
        <v>1.0095354000000001</v>
      </c>
      <c r="T51" s="315">
        <f>(S54*S53*C55)^2</f>
        <v>5.7896152862068018</v>
      </c>
      <c r="U51" s="121"/>
      <c r="V51" s="121"/>
      <c r="W51" s="121" t="s">
        <v>104</v>
      </c>
      <c r="X51" s="121">
        <v>9</v>
      </c>
      <c r="Y51" s="121"/>
      <c r="Z51" s="121"/>
      <c r="AA51" s="121"/>
      <c r="AB51" s="121"/>
      <c r="AC51" s="121"/>
      <c r="AD51" s="121"/>
      <c r="AE51" s="121"/>
      <c r="AF51" s="121"/>
      <c r="AG51" s="121"/>
      <c r="AH51" s="85"/>
      <c r="AI51" s="85"/>
      <c r="AJ51" s="85"/>
      <c r="AK51" s="86"/>
    </row>
    <row r="52" spans="1:53" x14ac:dyDescent="0.25">
      <c r="A52" s="87"/>
      <c r="B52" s="88" t="s">
        <v>5</v>
      </c>
      <c r="C52" s="88">
        <f>I9</f>
        <v>0</v>
      </c>
      <c r="D52" s="89"/>
      <c r="E52" s="88" t="s">
        <v>56</v>
      </c>
      <c r="F52" s="90">
        <f>B11*2</f>
        <v>3.3778711484593875E-2</v>
      </c>
      <c r="G52" s="89" t="s">
        <v>14</v>
      </c>
      <c r="H52" s="89">
        <v>704.5</v>
      </c>
      <c r="I52" s="89"/>
      <c r="J52" s="89"/>
      <c r="K52" s="91" t="s">
        <v>44</v>
      </c>
      <c r="L52" s="89">
        <f>B23</f>
        <v>1.1000000000000001</v>
      </c>
      <c r="M52" s="89"/>
      <c r="N52" s="89"/>
      <c r="O52" s="88" t="s">
        <v>8</v>
      </c>
      <c r="P52" s="89">
        <f>B18</f>
        <v>0.89727179178274741</v>
      </c>
      <c r="Q52" s="90"/>
      <c r="R52" s="90" t="s">
        <v>54</v>
      </c>
      <c r="S52" s="89">
        <f>P51*P52*4.427</f>
        <v>1.43</v>
      </c>
      <c r="T52" s="122"/>
      <c r="U52" s="121"/>
      <c r="V52" s="121"/>
      <c r="W52" s="121"/>
      <c r="X52" s="121">
        <v>9</v>
      </c>
      <c r="Y52" s="121"/>
      <c r="Z52" s="121"/>
      <c r="AA52" s="121"/>
      <c r="AB52" s="121"/>
      <c r="AC52" s="121"/>
      <c r="AD52" s="121"/>
      <c r="AE52" s="121"/>
      <c r="AF52" s="121"/>
      <c r="AG52" s="121"/>
      <c r="AH52" s="85"/>
      <c r="AI52" s="85"/>
      <c r="AJ52" s="85"/>
      <c r="AK52" s="86"/>
    </row>
    <row r="53" spans="1:53" ht="27.6" x14ac:dyDescent="0.25">
      <c r="A53" s="87"/>
      <c r="B53" s="88" t="s">
        <v>45</v>
      </c>
      <c r="C53" s="89">
        <f>B7</f>
        <v>1848</v>
      </c>
      <c r="D53" s="89"/>
      <c r="E53" s="88" t="s">
        <v>46</v>
      </c>
      <c r="F53" s="89">
        <f>B12</f>
        <v>2.2049299719882721E-2</v>
      </c>
      <c r="G53" s="88"/>
      <c r="H53" s="88"/>
      <c r="I53" s="88"/>
      <c r="J53" s="89"/>
      <c r="K53" s="91" t="s">
        <v>47</v>
      </c>
      <c r="L53" s="89">
        <f>B24</f>
        <v>3.8000000000000002E-4</v>
      </c>
      <c r="M53" s="89">
        <f>1/L53</f>
        <v>2631.5789473684208</v>
      </c>
      <c r="N53" s="89"/>
      <c r="O53" s="93" t="s">
        <v>48</v>
      </c>
      <c r="P53" s="89">
        <f>B19</f>
        <v>0.6</v>
      </c>
      <c r="Q53" s="90"/>
      <c r="R53" s="88" t="s">
        <v>55</v>
      </c>
      <c r="S53" s="89">
        <f>P51*P52*S51</f>
        <v>0.32609794940140052</v>
      </c>
      <c r="T53" s="64" t="s">
        <v>134</v>
      </c>
      <c r="U53" s="64" t="s">
        <v>136</v>
      </c>
      <c r="V53" s="64" t="s">
        <v>131</v>
      </c>
      <c r="W53" s="64" t="s">
        <v>132</v>
      </c>
      <c r="X53" s="64" t="s">
        <v>128</v>
      </c>
      <c r="Y53" s="64" t="s">
        <v>129</v>
      </c>
      <c r="Z53" s="121" t="s">
        <v>130</v>
      </c>
      <c r="AA53" s="64" t="s">
        <v>133</v>
      </c>
      <c r="AB53" s="121"/>
      <c r="AC53" s="121"/>
      <c r="AD53" s="121"/>
      <c r="AE53" s="121"/>
      <c r="AF53" s="121"/>
      <c r="AG53" s="121"/>
      <c r="AH53" s="85"/>
      <c r="AI53" s="85"/>
      <c r="AJ53" s="85"/>
      <c r="AK53" s="86"/>
    </row>
    <row r="54" spans="1:53" x14ac:dyDescent="0.25">
      <c r="A54" s="87"/>
      <c r="B54" s="88" t="s">
        <v>9</v>
      </c>
      <c r="C54" s="89">
        <v>9.8000000000000007</v>
      </c>
      <c r="D54" s="89"/>
      <c r="E54" s="88" t="s">
        <v>49</v>
      </c>
      <c r="F54" s="88">
        <f>B13</f>
        <v>5.5140462184875005E-2</v>
      </c>
      <c r="G54" s="88"/>
      <c r="H54" s="88"/>
      <c r="I54" s="88"/>
      <c r="J54" s="89"/>
      <c r="K54" s="91" t="s">
        <v>50</v>
      </c>
      <c r="L54" s="89">
        <f>0</f>
        <v>0</v>
      </c>
      <c r="M54" s="89"/>
      <c r="N54" s="89"/>
      <c r="O54" s="88" t="s">
        <v>51</v>
      </c>
      <c r="P54" s="89">
        <f>B26</f>
        <v>0</v>
      </c>
      <c r="Q54" s="90"/>
      <c r="R54" s="88" t="s">
        <v>106</v>
      </c>
      <c r="S54" s="89">
        <f>1/P53</f>
        <v>1.6666666666666667</v>
      </c>
      <c r="T54" s="64"/>
      <c r="U54" s="123">
        <v>207</v>
      </c>
      <c r="V54" s="64">
        <f>B61-B8</f>
        <v>20.670000000000073</v>
      </c>
      <c r="W54" s="64">
        <v>4.3960175796680687</v>
      </c>
      <c r="X54" s="64">
        <f>B11*(V54^2-W54^2)+B12*(V54-W54)</f>
        <v>7.2484022761171687</v>
      </c>
      <c r="Y54" s="64">
        <v>3.254594753473278</v>
      </c>
      <c r="Z54" s="121">
        <v>192.15162074433553</v>
      </c>
      <c r="AA54" s="124">
        <f>(Z54-X54-Y54)/Z54</f>
        <v>0.94534005495813622</v>
      </c>
      <c r="AB54" s="121"/>
      <c r="AC54" s="121"/>
      <c r="AD54" s="121"/>
      <c r="AE54" s="121"/>
      <c r="AF54" s="121"/>
      <c r="AG54" s="121"/>
      <c r="AH54" s="85"/>
      <c r="AI54" s="85"/>
      <c r="AJ54" s="85"/>
      <c r="AK54" s="86"/>
    </row>
    <row r="55" spans="1:53" s="8" customFormat="1" x14ac:dyDescent="0.25">
      <c r="A55" s="94"/>
      <c r="B55" s="88" t="s">
        <v>52</v>
      </c>
      <c r="C55" s="89">
        <f>SQRT(2*C54)</f>
        <v>4.4271887242357311</v>
      </c>
      <c r="D55" s="89"/>
      <c r="E55" s="90" t="s">
        <v>57</v>
      </c>
      <c r="F55" s="89">
        <f>(H51-Calculation!F51)^2*0.063+Calculation!F53*(H51-Calculation!F51)+44</f>
        <v>34066.598319740893</v>
      </c>
      <c r="G55" s="89">
        <f>($H$52-Calculation!$F$51)^2*0.063+Calculation!$F$53*($H$52-Calculation!$F$51)+44</f>
        <v>37676.151846351539</v>
      </c>
      <c r="H55" s="89">
        <f>F55-G55</f>
        <v>-3609.5535266106453</v>
      </c>
      <c r="I55" s="89"/>
      <c r="J55" s="89"/>
      <c r="K55" s="88" t="s">
        <v>63</v>
      </c>
      <c r="L55" s="89">
        <f>H20</f>
        <v>2.5000000000000001E-2</v>
      </c>
      <c r="M55" s="90"/>
      <c r="N55" s="90"/>
      <c r="O55" s="90"/>
      <c r="P55" s="88"/>
      <c r="Q55" s="88"/>
      <c r="R55" s="88" t="s">
        <v>11</v>
      </c>
      <c r="S55" s="89">
        <f>S53*S54</f>
        <v>0.54349658233566756</v>
      </c>
      <c r="T55" s="122"/>
      <c r="U55" s="121"/>
      <c r="V55" s="121"/>
      <c r="W55" s="121"/>
      <c r="X55" s="121"/>
      <c r="Y55" s="121"/>
      <c r="Z55" s="121"/>
      <c r="AA55" s="121"/>
      <c r="AB55" s="121"/>
      <c r="AC55" s="121"/>
      <c r="AD55" s="121"/>
      <c r="AE55" s="121"/>
      <c r="AF55" s="121"/>
      <c r="AG55" s="121"/>
      <c r="AH55" s="85"/>
      <c r="AI55" s="85"/>
      <c r="AJ55" s="85"/>
      <c r="AK55" s="86"/>
    </row>
    <row r="56" spans="1:53" s="8" customFormat="1" ht="15" thickBot="1" x14ac:dyDescent="0.3">
      <c r="A56" s="95"/>
      <c r="B56" s="96"/>
      <c r="C56" s="96"/>
      <c r="D56" s="422"/>
      <c r="E56" s="422"/>
      <c r="F56" s="422"/>
      <c r="G56" s="422"/>
      <c r="H56" s="96"/>
      <c r="I56" s="96"/>
      <c r="J56" s="96"/>
      <c r="K56" s="96"/>
      <c r="L56" s="96"/>
      <c r="M56" s="96"/>
      <c r="N56" s="96"/>
      <c r="O56" s="96"/>
      <c r="P56" s="96"/>
      <c r="Q56" s="97"/>
      <c r="R56" s="97"/>
      <c r="S56" s="97"/>
      <c r="T56" s="125"/>
      <c r="U56" s="125">
        <v>-7.9</v>
      </c>
      <c r="V56" s="125"/>
      <c r="W56" s="125"/>
      <c r="X56" s="125"/>
      <c r="Y56" s="125"/>
      <c r="Z56" s="125"/>
      <c r="AA56" s="121"/>
      <c r="AB56" s="121"/>
      <c r="AC56" s="121"/>
      <c r="AD56" s="121"/>
      <c r="AE56" s="121"/>
      <c r="AF56" s="121"/>
      <c r="AG56" s="121"/>
      <c r="AH56" s="85"/>
      <c r="AI56" s="85"/>
      <c r="AJ56" s="85"/>
      <c r="AK56" s="86"/>
    </row>
    <row r="57" spans="1:53" s="33" customFormat="1" ht="16.2" x14ac:dyDescent="0.25">
      <c r="A57" s="98" t="s">
        <v>61</v>
      </c>
      <c r="B57" s="337" t="s">
        <v>68</v>
      </c>
      <c r="C57" s="337" t="s">
        <v>263</v>
      </c>
      <c r="D57" s="316" t="s">
        <v>15</v>
      </c>
      <c r="E57" s="316" t="s">
        <v>5</v>
      </c>
      <c r="F57" s="337" t="s">
        <v>121</v>
      </c>
      <c r="G57" s="337" t="s">
        <v>16</v>
      </c>
      <c r="H57" s="316" t="s">
        <v>17</v>
      </c>
      <c r="I57" s="316" t="s">
        <v>6</v>
      </c>
      <c r="J57" s="337" t="s">
        <v>101</v>
      </c>
      <c r="K57" s="316" t="s">
        <v>18</v>
      </c>
      <c r="L57" s="317" t="s">
        <v>19</v>
      </c>
      <c r="M57" s="338" t="s">
        <v>20</v>
      </c>
      <c r="N57" s="317" t="s">
        <v>21</v>
      </c>
      <c r="O57" s="317" t="s">
        <v>22</v>
      </c>
      <c r="P57" s="317" t="s">
        <v>23</v>
      </c>
      <c r="Q57" s="317" t="s">
        <v>24</v>
      </c>
      <c r="R57" s="317" t="s">
        <v>25</v>
      </c>
      <c r="S57" s="317" t="s">
        <v>26</v>
      </c>
      <c r="T57" s="338" t="s">
        <v>27</v>
      </c>
      <c r="U57" s="318" t="s">
        <v>28</v>
      </c>
      <c r="V57" s="318" t="s">
        <v>29</v>
      </c>
      <c r="W57" s="318" t="s">
        <v>30</v>
      </c>
      <c r="X57" s="318" t="s">
        <v>31</v>
      </c>
      <c r="Y57" s="318" t="s">
        <v>32</v>
      </c>
      <c r="Z57" s="318" t="s">
        <v>33</v>
      </c>
      <c r="AA57" s="319" t="s">
        <v>34</v>
      </c>
      <c r="AB57" s="319" t="s">
        <v>35</v>
      </c>
      <c r="AC57" s="320" t="s">
        <v>36</v>
      </c>
      <c r="AD57" s="320" t="s">
        <v>41</v>
      </c>
      <c r="AE57" s="320" t="s">
        <v>42</v>
      </c>
      <c r="AF57" s="320" t="s">
        <v>14</v>
      </c>
      <c r="AG57" s="320" t="s">
        <v>37</v>
      </c>
      <c r="AH57" s="320" t="s">
        <v>19</v>
      </c>
      <c r="AI57" s="320" t="s">
        <v>38</v>
      </c>
      <c r="AJ57" s="339" t="s">
        <v>39</v>
      </c>
      <c r="AK57" s="340" t="s">
        <v>223</v>
      </c>
      <c r="AL57" s="32" t="s">
        <v>127</v>
      </c>
      <c r="AM57" s="11"/>
      <c r="AN57" s="11"/>
      <c r="AO57" s="11"/>
    </row>
    <row r="58" spans="1:53" s="34" customFormat="1" ht="16.8" x14ac:dyDescent="0.25">
      <c r="A58" s="99" t="s">
        <v>62</v>
      </c>
      <c r="B58" s="100" t="s">
        <v>58</v>
      </c>
      <c r="C58" s="101" t="s">
        <v>58</v>
      </c>
      <c r="D58" s="101" t="s">
        <v>53</v>
      </c>
      <c r="E58" s="101" t="s">
        <v>58</v>
      </c>
      <c r="F58" s="101" t="s">
        <v>58</v>
      </c>
      <c r="G58" s="102" t="s">
        <v>59</v>
      </c>
      <c r="H58" s="101" t="s">
        <v>60</v>
      </c>
      <c r="I58" s="101" t="s">
        <v>122</v>
      </c>
      <c r="J58" s="101"/>
      <c r="K58" s="101"/>
      <c r="L58" s="103" t="s">
        <v>60</v>
      </c>
      <c r="M58" s="103" t="s">
        <v>60</v>
      </c>
      <c r="N58" s="103"/>
      <c r="O58" s="103"/>
      <c r="P58" s="103"/>
      <c r="Q58" s="103"/>
      <c r="R58" s="103"/>
      <c r="S58" s="104"/>
      <c r="T58" s="104"/>
      <c r="U58" s="105"/>
      <c r="V58" s="105"/>
      <c r="W58" s="106"/>
      <c r="X58" s="105"/>
      <c r="Y58" s="105"/>
      <c r="Z58" s="105"/>
      <c r="AA58" s="105"/>
      <c r="AB58" s="105"/>
      <c r="AC58" s="107"/>
      <c r="AD58" s="107"/>
      <c r="AE58" s="107"/>
      <c r="AF58" s="107"/>
      <c r="AG58" s="107"/>
      <c r="AH58" s="107" t="s">
        <v>266</v>
      </c>
      <c r="AI58" s="107" t="s">
        <v>264</v>
      </c>
      <c r="AJ58" s="107" t="s">
        <v>265</v>
      </c>
      <c r="AK58" s="108" t="s">
        <v>267</v>
      </c>
      <c r="AL58" s="108" t="s">
        <v>267</v>
      </c>
      <c r="AM58" s="12"/>
      <c r="AN58" s="12"/>
      <c r="AO58" s="12"/>
      <c r="AP58" s="8"/>
      <c r="AQ58" s="8"/>
      <c r="AR58" s="8"/>
      <c r="AS58" s="8"/>
      <c r="AT58" s="8"/>
      <c r="AU58" s="8"/>
      <c r="AV58" s="8"/>
      <c r="AW58" s="8"/>
      <c r="AX58" s="8"/>
      <c r="AY58" s="8"/>
      <c r="AZ58" s="8"/>
      <c r="BA58" s="8"/>
    </row>
    <row r="59" spans="1:53" s="34" customFormat="1" ht="32.25" customHeight="1" thickBot="1" x14ac:dyDescent="0.3">
      <c r="A59" s="109" t="s">
        <v>123</v>
      </c>
      <c r="B59" s="96"/>
      <c r="C59" s="96"/>
      <c r="D59" s="96" t="s">
        <v>124</v>
      </c>
      <c r="E59" s="96"/>
      <c r="F59" s="96"/>
      <c r="G59" s="96" t="s">
        <v>40</v>
      </c>
      <c r="H59" s="92"/>
      <c r="I59" s="96"/>
      <c r="J59" s="96"/>
      <c r="K59" s="96"/>
      <c r="L59" s="321"/>
      <c r="M59" s="321"/>
      <c r="N59" s="321" t="s">
        <v>125</v>
      </c>
      <c r="O59" s="321"/>
      <c r="P59" s="321"/>
      <c r="Q59" s="322"/>
      <c r="R59" s="321"/>
      <c r="S59" s="321"/>
      <c r="T59" s="321"/>
      <c r="U59" s="323"/>
      <c r="V59" s="323"/>
      <c r="W59" s="323"/>
      <c r="X59" s="323"/>
      <c r="Y59" s="323"/>
      <c r="Z59" s="323"/>
      <c r="AA59" s="323"/>
      <c r="AB59" s="323"/>
      <c r="AC59" s="324" t="s">
        <v>40</v>
      </c>
      <c r="AD59" s="110"/>
      <c r="AE59" s="110"/>
      <c r="AF59" s="324"/>
      <c r="AG59" s="324"/>
      <c r="AH59" s="324"/>
      <c r="AI59" s="324" t="s">
        <v>40</v>
      </c>
      <c r="AJ59" s="324"/>
      <c r="AK59" s="325"/>
      <c r="AL59" s="36"/>
      <c r="AM59" s="12"/>
      <c r="AN59" s="12"/>
      <c r="AO59" s="12"/>
      <c r="AP59" s="8"/>
      <c r="AQ59" s="8"/>
      <c r="AR59" s="8"/>
      <c r="AS59" s="8"/>
      <c r="AT59" s="8"/>
      <c r="AU59" s="8"/>
      <c r="AV59" s="8"/>
      <c r="AW59" s="8"/>
      <c r="AX59" s="8"/>
      <c r="AY59" s="8"/>
      <c r="AZ59" s="8"/>
      <c r="BA59" s="8"/>
    </row>
    <row r="60" spans="1:53" s="39" customFormat="1" x14ac:dyDescent="0.25">
      <c r="A60" s="111" t="s">
        <v>126</v>
      </c>
      <c r="B60" s="112"/>
      <c r="C60" s="112"/>
      <c r="D60" s="112"/>
      <c r="E60" s="112"/>
      <c r="F60" s="112"/>
      <c r="G60" s="112"/>
      <c r="H60" s="112"/>
      <c r="I60" s="112"/>
      <c r="J60" s="112"/>
      <c r="K60" s="116"/>
      <c r="L60" s="326">
        <f>(1-$P$54)*O61*R61+C53</f>
        <v>3133.5636587761787</v>
      </c>
      <c r="M60" s="326">
        <f>M61*(B61-C61+N61/2)/$S$54</f>
        <v>1.9069985029547956</v>
      </c>
      <c r="N60" s="327">
        <f>L60/M60</f>
        <v>1643.1914623534753</v>
      </c>
      <c r="O60" s="328"/>
      <c r="P60" s="326">
        <f>((1-$P$54)*O61*R61+C53)/(M61*(B61-C61+N61/2)/$S$54)</f>
        <v>1643.1914623534753</v>
      </c>
      <c r="Q60" s="112"/>
      <c r="R60" s="276" t="str">
        <f>IF(H60&gt;0, rate1(1,$L$52,$L$51,$L$54,L60,$L$53,$L$50,P60),"")</f>
        <v/>
      </c>
      <c r="S60" s="112"/>
      <c r="T60" s="275"/>
      <c r="U60" s="112"/>
      <c r="V60" s="113"/>
      <c r="W60" s="113"/>
      <c r="X60" s="113"/>
      <c r="Y60" s="113"/>
      <c r="Z60" s="107" t="str">
        <f>IF(H60&gt;0, rate1(1,$L$52,$L$51,$L$54,U60,$L$53,$L$50,Y60),"")</f>
        <v/>
      </c>
      <c r="AA60" s="112"/>
      <c r="AB60" s="112"/>
      <c r="AC60" s="275"/>
      <c r="AD60" s="112"/>
      <c r="AE60" s="112"/>
      <c r="AF60" s="112"/>
      <c r="AG60" s="112"/>
      <c r="AH60" s="112"/>
      <c r="AI60" s="112"/>
      <c r="AJ60" s="112"/>
      <c r="AK60" s="114"/>
      <c r="AL60" s="37"/>
      <c r="AM60" s="38"/>
      <c r="AN60" s="38"/>
      <c r="AO60" s="12"/>
      <c r="AP60" s="8"/>
      <c r="AQ60" s="8"/>
      <c r="AR60" s="8"/>
      <c r="AS60" s="8"/>
      <c r="AT60" s="8"/>
      <c r="AU60" s="8"/>
      <c r="AV60" s="8"/>
      <c r="AW60" s="8"/>
      <c r="AX60" s="8"/>
      <c r="AY60" s="8"/>
      <c r="AZ60" s="8"/>
      <c r="BA60" s="8"/>
    </row>
    <row r="61" spans="1:53" x14ac:dyDescent="0.25">
      <c r="A61" s="115"/>
      <c r="B61" s="329">
        <f>H7</f>
        <v>1498.22</v>
      </c>
      <c r="C61" s="329">
        <f>B6</f>
        <v>1497.65</v>
      </c>
      <c r="D61" s="329">
        <f>$L$51</f>
        <v>2.6</v>
      </c>
      <c r="E61" s="327">
        <f>H8</f>
        <v>1</v>
      </c>
      <c r="F61" s="329">
        <f>E61</f>
        <v>1</v>
      </c>
      <c r="G61" s="327">
        <f>F61*$S$53*$C$55*(B61-C61+N61)^1.5</f>
        <v>3.5969369861416771</v>
      </c>
      <c r="H61" s="327">
        <v>0.08</v>
      </c>
      <c r="I61" s="327">
        <f>(B61-C61)*B$19</f>
        <v>0.34199999999996178</v>
      </c>
      <c r="J61" s="327">
        <f>$B$7</f>
        <v>1848</v>
      </c>
      <c r="K61" s="330">
        <v>1</v>
      </c>
      <c r="L61" s="329">
        <f>D61+H61*K61</f>
        <v>2.68</v>
      </c>
      <c r="M61" s="327">
        <f>(D61+L61)/2</f>
        <v>2.64</v>
      </c>
      <c r="N61" s="327">
        <f>2*($P$53*M61/$S$52/$S$51)^2-(B61-C61)*2</f>
        <v>1.2678263926198188</v>
      </c>
      <c r="O61" s="327">
        <f>wh(B61,$F$51,$F$52,$F$53)</f>
        <v>0.72025526610644053</v>
      </c>
      <c r="P61" s="331">
        <f>$C$54*$L$55*$L$55*M61*M61/(($B$19*(B61-C61))^0.333)*1000</f>
        <v>61.021552607625942</v>
      </c>
      <c r="Q61" s="327">
        <f>M61/$S$54*(B61-C61+N61/2)*E61-J61</f>
        <v>-1846.0930014970452</v>
      </c>
      <c r="R61" s="276">
        <f>IF(H61&gt;0, rate1(1,$L$52,$L$51,$L$54,L61,$L$53,$L$50,P61),"")</f>
        <v>1784.8722796928444</v>
      </c>
      <c r="S61" s="327">
        <f>Q61/O61/R61</f>
        <v>-1.4360183479785629</v>
      </c>
      <c r="T61" s="327">
        <f>N61/(1-S61)</f>
        <v>0.52045026412542261</v>
      </c>
      <c r="U61" s="327">
        <f>L61-K61*H61</f>
        <v>2.6</v>
      </c>
      <c r="V61" s="327">
        <f>(D61+U61)/2</f>
        <v>2.6</v>
      </c>
      <c r="W61" s="327">
        <f>2*($P$53*V61/$S$52/$S$51)^2-(B61-C61)*2</f>
        <v>1.1954147173596765</v>
      </c>
      <c r="X61" s="327">
        <f>V61/$S$54*(B61-C61+W61/2)*F61-J61</f>
        <v>-1846.1783765204596</v>
      </c>
      <c r="Y61" s="327">
        <f>$C$54*$L$55*$L$55*V61*V61/(($B$19*(B61-C61))^0.333)*1000</f>
        <v>59.186423270711579</v>
      </c>
      <c r="Z61" s="107">
        <f>IF(H61&gt;0, rate1(1,$L$52,$L$51,$L$54,U61,$L$53,$L$50,Y61),"")</f>
        <v>1767.2420811528029</v>
      </c>
      <c r="AA61" s="327">
        <f>X61/O61/Z61</f>
        <v>-1.4504112957529161</v>
      </c>
      <c r="AB61" s="327">
        <v>-1.0000000000000001E-5</v>
      </c>
      <c r="AC61" s="327">
        <f>delta_z(N61,S61,H61,AE61,AB61)</f>
        <v>0.52045026412542261</v>
      </c>
      <c r="AD61" s="327">
        <f>H61/AC61*K61</f>
        <v>0.15371305485728587</v>
      </c>
      <c r="AE61" s="332">
        <f>AD61</f>
        <v>0.15371305485728587</v>
      </c>
      <c r="AF61" s="327">
        <f>B61-(AC61-N61)</f>
        <v>1498.9673761284944</v>
      </c>
      <c r="AG61" s="327">
        <f>C61-AC61</f>
        <v>1497.1295497358747</v>
      </c>
      <c r="AH61" s="327">
        <f>$S$54*$S$53*$C$55*SQRT(AF61-AG61)</f>
        <v>3.2619484631283524</v>
      </c>
      <c r="AI61" s="327">
        <f>AC61/R61*1000000</f>
        <v>291.58963924017354</v>
      </c>
      <c r="AJ61" s="332">
        <f>AI61/3600</f>
        <v>8.0997122011159314E-2</v>
      </c>
      <c r="AK61" s="333"/>
      <c r="AL61" s="42"/>
      <c r="BA61" s="8"/>
    </row>
    <row r="62" spans="1:53" x14ac:dyDescent="0.25">
      <c r="A62" s="115"/>
      <c r="B62" s="327">
        <f>AF61</f>
        <v>1498.9673761284944</v>
      </c>
      <c r="C62" s="327">
        <f>AG61</f>
        <v>1497.1295497358747</v>
      </c>
      <c r="D62" s="327">
        <f>AH61</f>
        <v>3.2619484631283524</v>
      </c>
      <c r="E62" s="327">
        <f t="shared" ref="E62:E125" si="0">bb2wang($B$6,$H$12,C62,$H$8,$H$9,I62,$H$10,$H$11,$K$10,$K$11,$H$13)</f>
        <v>4.3245313090352226</v>
      </c>
      <c r="F62" s="327">
        <f>(E62+E61)/2</f>
        <v>2.6622656545176113</v>
      </c>
      <c r="G62" s="327">
        <f>F62*$S$53*$C$55*(B62-C62+N62)^1.5</f>
        <v>10.296128831810872</v>
      </c>
      <c r="H62" s="312">
        <f>dv(S61)</f>
        <v>0.08</v>
      </c>
      <c r="I62" s="327">
        <f>(B62-C62)*B$19</f>
        <v>1.1026958355718306</v>
      </c>
      <c r="J62" s="327">
        <f t="shared" ref="J62:J125" si="1">$B$7</f>
        <v>1848</v>
      </c>
      <c r="K62" s="334">
        <f>INT(IF((1-S61-0.015)&gt;0,1,-1))</f>
        <v>1</v>
      </c>
      <c r="L62" s="322">
        <f>D62+K62*H62</f>
        <v>3.3419484631283525</v>
      </c>
      <c r="M62" s="322">
        <f>(D62+L62)/2</f>
        <v>3.3019484631283524</v>
      </c>
      <c r="N62" s="327">
        <f>2*($P$53*M62/$S$52/$S$51)^2-(B62-C62)*2</f>
        <v>9.1020030876583391E-2</v>
      </c>
      <c r="O62" s="327">
        <f t="shared" ref="O62:O125" si="2">IF(wh(B61,$F$51,$F$52,$F$53)&gt;0,wh(B61,$F$51,$F$52,$F$53),O61)</f>
        <v>0.72025526610644053</v>
      </c>
      <c r="P62" s="331">
        <f>$C$54*$L$55*$L$55*M62*M62/(($B$19*(B62-C62))^0.333)*1000</f>
        <v>64.641126232597031</v>
      </c>
      <c r="Q62" s="327">
        <f>M62/$S$54*(B62-C62+N62/2)*E62-J62</f>
        <v>-1831.864274811034</v>
      </c>
      <c r="R62" s="276">
        <f>IF(H62&gt;0, rate1(1,$L$52,$L$51,$L$54,L62,$L$53,$L$50,P62),"")</f>
        <v>1817.619009232063</v>
      </c>
      <c r="S62" s="322">
        <f>Q62/O62/R62</f>
        <v>-1.3992779636584378</v>
      </c>
      <c r="T62" s="322">
        <f>N62/(1-S62)</f>
        <v>3.7936425981171154E-2</v>
      </c>
      <c r="U62" s="327">
        <f t="shared" ref="U62:U125" si="3">L62-K62*H62</f>
        <v>3.2619484631283524</v>
      </c>
      <c r="V62" s="335">
        <f>(D62+U62)/2</f>
        <v>3.2619484631283524</v>
      </c>
      <c r="W62" s="327">
        <f>2*($P$53*V62/$S$52/$S$51)^2-(B62-C62)*2</f>
        <v>3.133948717843893E-4</v>
      </c>
      <c r="X62" s="327">
        <f>V62/$S$54*(B62-C62+W62/2)*F62-J62</f>
        <v>-1838.4231817277123</v>
      </c>
      <c r="Y62" s="327">
        <f>$C$54*$L$55*$L$55*V62*V62/(($B$19*(B62-C62))^0.333)*1000</f>
        <v>63.084479453234216</v>
      </c>
      <c r="Z62" s="107">
        <f>IF(H62&gt;0, rate1(1,$L$52,$L$51,$L$54,U62,$L$53,$L$50,Y62),"")</f>
        <v>1803.8515130283456</v>
      </c>
      <c r="AA62" s="335">
        <f>X62/O62/Z62</f>
        <v>-1.415005931426941</v>
      </c>
      <c r="AB62" s="335">
        <f>W62/(1-AA62)</f>
        <v>1.2976981451934383E-4</v>
      </c>
      <c r="AC62" s="327">
        <f>delta_z(N62,S62,H62,AE61,AB62)</f>
        <v>3.7936425981171154E-2</v>
      </c>
      <c r="AD62" s="327">
        <f>H62/AC62*K62</f>
        <v>2.1087911665612915</v>
      </c>
      <c r="AE62" s="327">
        <f>(AD62-AD61)/(AC62+AC61)*2</f>
        <v>7.0025956791011224</v>
      </c>
      <c r="AF62" s="327">
        <f>B62-(AC62-N62)</f>
        <v>1499.0204597333898</v>
      </c>
      <c r="AG62" s="327">
        <f>C62-AC62</f>
        <v>1497.0916133098935</v>
      </c>
      <c r="AH62" s="327">
        <f>$S$54*$S$53*$C$55*SQRT(AF62-AG62)</f>
        <v>3.341747856768829</v>
      </c>
      <c r="AI62" s="327">
        <f>AC62/R62*1000000</f>
        <v>20.871494954929606</v>
      </c>
      <c r="AJ62" s="327">
        <f>AJ61+AI62/3600</f>
        <v>8.6794759498639767E-2</v>
      </c>
      <c r="AK62" s="336">
        <f>AK61+AI61*G61/1000000</f>
        <v>1.0488295581586888E-3</v>
      </c>
      <c r="AL62" s="42">
        <f>AL61+AI61*J61/1000000</f>
        <v>0.53885765331584079</v>
      </c>
      <c r="BA62" s="8"/>
    </row>
    <row r="63" spans="1:53" x14ac:dyDescent="0.25">
      <c r="A63" s="115"/>
      <c r="B63" s="327">
        <f>IF(H63&gt;0, AF62,"")</f>
        <v>1499.0204597333898</v>
      </c>
      <c r="C63" s="327">
        <f>IF(H63&gt;0, AG62,"")</f>
        <v>1497.0916133098935</v>
      </c>
      <c r="D63" s="327">
        <f>IF(H63&gt;0, AH62,"")</f>
        <v>3.341747856768829</v>
      </c>
      <c r="E63" s="327">
        <f t="shared" si="0"/>
        <v>4.5445452560586821</v>
      </c>
      <c r="F63" s="327">
        <f>IF(H63&gt;0, (E63+E62)/2,"")</f>
        <v>4.4345382825469528</v>
      </c>
      <c r="G63" s="327">
        <f>IF(H63&gt;0, F63*$S$53*$C$55*(B63-C63+N63)^1.5,"")</f>
        <v>18.408755117401427</v>
      </c>
      <c r="H63" s="312">
        <f>dv(S62)</f>
        <v>0.08</v>
      </c>
      <c r="I63" s="327">
        <f>IF(H63&gt;0, (B63-C63)*B$19,"")</f>
        <v>1.1573078540977348</v>
      </c>
      <c r="J63" s="327">
        <f t="shared" si="1"/>
        <v>1848</v>
      </c>
      <c r="K63" s="334">
        <f>IF(H63&gt;0, IF((1-S62-0.015)&gt;0,1,-1),"")</f>
        <v>1</v>
      </c>
      <c r="L63" s="322">
        <f>IF(H63&gt;0, D63+K63*H63,"")</f>
        <v>3.4217478567688291</v>
      </c>
      <c r="M63" s="322">
        <f>IF(H63&gt;0, (D63+L63)/2,"")</f>
        <v>3.3817478567688291</v>
      </c>
      <c r="N63" s="327">
        <f>IF(H63&gt;0, 2*($P$53*M63/$S$52/$S$51)^2-(B63-C63)*2,"")</f>
        <v>9.324105119588566E-2</v>
      </c>
      <c r="O63" s="327">
        <f t="shared" si="2"/>
        <v>0.74550066872132403</v>
      </c>
      <c r="P63" s="331">
        <f t="shared" ref="P63:P126" si="4">IF(H63&gt;0, $C$54*$L$55*$L$55*M63*M63/(($B$19*(B63-C63))^0.333)*1000,"")</f>
        <v>66.720617353062082</v>
      </c>
      <c r="Q63" s="327">
        <f>IF(H63&gt;0, M63/$S$54*(B63-C63+N63/2)*E63-J63,"")</f>
        <v>-1829.784014391073</v>
      </c>
      <c r="R63" s="276">
        <f>IF(H63&gt;0, rate1(1,$L$52,$L$51,$L$54,L63,$L$53,$L$50,P63),"")</f>
        <v>1835.3116830149661</v>
      </c>
      <c r="S63" s="322">
        <f>IF(H63&gt;0, Q63/O63/R63,"")</f>
        <v>-1.3373403940890165</v>
      </c>
      <c r="T63" s="322">
        <f>IF(H63&gt;0, N63/(1-S63),"")</f>
        <v>3.9891943608935297E-2</v>
      </c>
      <c r="U63" s="327">
        <f t="shared" si="3"/>
        <v>3.341747856768829</v>
      </c>
      <c r="V63" s="335">
        <f>IF(H63&gt;0, (D63+U63)/2,"")</f>
        <v>3.341747856768829</v>
      </c>
      <c r="W63" s="327">
        <f>IF(H63&gt;0, 2*($P$53*V63/$S$52/$S$51)^2-(B63-C63)*2,"")</f>
        <v>3.28916039082916E-4</v>
      </c>
      <c r="X63" s="327">
        <f>IF(H63&gt;0, V63/$S$54*(B63-C63+W63/2)*F63-J63,"")</f>
        <v>-1830.8482667205699</v>
      </c>
      <c r="Y63" s="327">
        <f t="shared" ref="Y63:Y126" si="5">IF(H63&gt;0, $C$54*$L$55*$L$55*V63*V63/(($B$19*(B63-C63))^0.333)*1000,"")</f>
        <v>65.15158198648821</v>
      </c>
      <c r="Z63" s="107">
        <f>IF(H63&gt;0, rate1(1,$L$52,$L$51,$L$54,U63,$L$53,$L$50,Y63),"")</f>
        <v>1822.0344732947237</v>
      </c>
      <c r="AA63" s="335">
        <f>IF(H63&gt;0, X63/O63/Z63,"")</f>
        <v>-1.3478691279836819</v>
      </c>
      <c r="AB63" s="335">
        <f>IF(H63&gt;0, W63/(1-AA63),"")</f>
        <v>1.4009130030402702E-4</v>
      </c>
      <c r="AC63" s="327">
        <f>IF(H63&gt;0, delta_z(N63,S63,H63,AE62,AB63),"")</f>
        <v>3.9891943608935297E-2</v>
      </c>
      <c r="AD63" s="327">
        <f>IF(H63&gt;0, H63/AC63*K63,"")</f>
        <v>2.0054174543172922</v>
      </c>
      <c r="AE63" s="327">
        <f>IF(H63&gt;0, (AD63-AD62)/(AC63+AC62)*2,"")</f>
        <v>-2.6564532390548794</v>
      </c>
      <c r="AF63" s="327">
        <f>IF(H63&gt;0, B63-(AC63-N63),"")</f>
        <v>1499.0738088409767</v>
      </c>
      <c r="AG63" s="327">
        <f>IF(H63&gt;0, C63-AC63,"")</f>
        <v>1497.0517213662847</v>
      </c>
      <c r="AH63" s="327">
        <f>IF(H63&gt;0, $S$54*$S$53*$C$55*SQRT(AF63-AG63),"")</f>
        <v>3.4215652198261233</v>
      </c>
      <c r="AI63" s="327">
        <f>IF(H63&gt;0, AC63/R63*1000000,"")</f>
        <v>21.735786884657454</v>
      </c>
      <c r="AJ63" s="327">
        <f>IF(H63&gt;0, AJ62+AI63/3600,"")</f>
        <v>9.2832478077711278E-2</v>
      </c>
      <c r="AK63" s="336">
        <f>IF(H63&gt;0, AK62+AI62*G62/1000000,"")</f>
        <v>1.2637251591271347E-3</v>
      </c>
      <c r="AL63" s="42">
        <f>IF(H63&gt;0, AL62+AI62*J62/1000000,"")</f>
        <v>0.5774281759925507</v>
      </c>
      <c r="BA63" s="8"/>
    </row>
    <row r="64" spans="1:53" x14ac:dyDescent="0.25">
      <c r="A64" s="115"/>
      <c r="B64" s="327">
        <f t="shared" ref="B64:B127" si="6">IF(H64&gt;0, AF63,"")</f>
        <v>1499.0738088409767</v>
      </c>
      <c r="C64" s="327">
        <f t="shared" ref="C64:C127" si="7">IF(H64&gt;0, AG63,"")</f>
        <v>1497.0517213662847</v>
      </c>
      <c r="D64" s="327">
        <f t="shared" ref="D64:D127" si="8">IF(H64&gt;0, AH63,"")</f>
        <v>3.4215652198261233</v>
      </c>
      <c r="E64" s="327">
        <f t="shared" si="0"/>
        <v>4.7750584453039826</v>
      </c>
      <c r="F64" s="327">
        <f t="shared" ref="F64:F127" si="9">IF(H64&gt;0, (E64+E63)/2,"")</f>
        <v>4.6598018506813323</v>
      </c>
      <c r="G64" s="327">
        <f t="shared" ref="G64:G127" si="10">IF(H64&gt;0, F64*$S$53*$C$55*(B64-C64+N64)^1.5,"")</f>
        <v>20.729756150186329</v>
      </c>
      <c r="H64" s="312">
        <f t="shared" ref="H64:H93" si="11">dv(S63)</f>
        <v>0.08</v>
      </c>
      <c r="I64" s="327">
        <f t="shared" ref="I64:I127" si="12">IF(H64&gt;0, (B64-C64)*B$19,"")</f>
        <v>1.213252484815166</v>
      </c>
      <c r="J64" s="327">
        <f t="shared" si="1"/>
        <v>1848</v>
      </c>
      <c r="K64" s="334">
        <f t="shared" ref="K64:K127" si="13">IF(H64&gt;0, IF((1-S63-0.015)&gt;0,1,-1),"")</f>
        <v>1</v>
      </c>
      <c r="L64" s="322">
        <f t="shared" ref="L64:L127" si="14">IF(H64&gt;0, D64+K64*H64,"")</f>
        <v>3.5015652198261233</v>
      </c>
      <c r="M64" s="322">
        <f t="shared" ref="M64:M127" si="15">IF(H64&gt;0, (D64+L64)/2,"")</f>
        <v>3.4615652198261233</v>
      </c>
      <c r="N64" s="327">
        <f t="shared" ref="N64:N127" si="16">IF(H64&gt;0, 2*($P$53*M64/$S$52/$S$51)^2-(B64-C64)*2,"")</f>
        <v>9.5462946893640321E-2</v>
      </c>
      <c r="O64" s="327">
        <f t="shared" si="2"/>
        <v>0.74729376449564766</v>
      </c>
      <c r="P64" s="331">
        <f t="shared" si="4"/>
        <v>68.816944236884339</v>
      </c>
      <c r="Q64" s="327">
        <f t="shared" ref="Q64:Q127" si="17">IF(H64&gt;0, M64/$S$54*(B64-C64+N64/2)*E64-J64,"")</f>
        <v>-1827.472558696642</v>
      </c>
      <c r="R64" s="276">
        <f>IF(H64&gt;0, rate1(1,$L$52,$L$51,$L$54,L64,$L$53,$L$50,P64),"")</f>
        <v>1852.3857709678182</v>
      </c>
      <c r="S64" s="322">
        <f t="shared" ref="S64:S127" si="18">IF(H64&gt;0, Q64/O64/R64,"")</f>
        <v>-1.3201645589532105</v>
      </c>
      <c r="T64" s="322">
        <f t="shared" ref="T64:T127" si="19">IF(H64&gt;0, N64/(1-S64),"")</f>
        <v>4.1144903504909312E-2</v>
      </c>
      <c r="U64" s="327">
        <f t="shared" si="3"/>
        <v>3.4215652198261233</v>
      </c>
      <c r="V64" s="335">
        <f t="shared" ref="V64:V127" si="20">IF(H64&gt;0, (D64+U64)/2,"")</f>
        <v>3.4215652198261233</v>
      </c>
      <c r="W64" s="327">
        <f t="shared" ref="W64:W127" si="21">IF(H64&gt;0, 2*($P$53*V64/$S$52/$S$51)^2-(B64-C64)*2,"")</f>
        <v>3.4481594530078041E-4</v>
      </c>
      <c r="X64" s="327">
        <f t="shared" ref="X64:X127" si="22">IF(H64&gt;0, V64/$S$54*(B64-C64+W64/2)*F64-J64,"")</f>
        <v>-1828.6544763844349</v>
      </c>
      <c r="Y64" s="327">
        <f t="shared" si="5"/>
        <v>67.235709530516729</v>
      </c>
      <c r="Z64" s="107">
        <f>IF(H64&gt;0, rate1(1,$L$52,$L$51,$L$54,U64,$L$53,$L$50,Y64),"")</f>
        <v>1839.5759574358594</v>
      </c>
      <c r="AA64" s="335">
        <f t="shared" ref="AA64:AA127" si="23">IF(H64&gt;0, X64/O64/Z64,"")</f>
        <v>-1.3302172338136737</v>
      </c>
      <c r="AB64" s="335">
        <f t="shared" ref="AB64:AB127" si="24">IF(H64&gt;0, W64/(1-AA64),"")</f>
        <v>1.4797587980089252E-4</v>
      </c>
      <c r="AC64" s="327">
        <f t="shared" ref="AC64:AC127" si="25">IF(H64&gt;0, delta_z(N64,S64,H64,AE63,AB64),"")</f>
        <v>4.1144903504909312E-2</v>
      </c>
      <c r="AD64" s="327">
        <f t="shared" ref="AD64:AD127" si="26">IF(H64&gt;0, H64/AC64*K64,"")</f>
        <v>1.944347736541771</v>
      </c>
      <c r="AE64" s="327">
        <f t="shared" ref="AE64:AE127" si="27">IF(H64&gt;0, (AD64-AD63)/(AC64+AC63)*2,"")</f>
        <v>-1.5072086328760419</v>
      </c>
      <c r="AF64" s="327">
        <f t="shared" ref="AF64:AF127" si="28">IF(H64&gt;0, B64-(AC64-N64),"")</f>
        <v>1499.1281268843654</v>
      </c>
      <c r="AG64" s="327">
        <f t="shared" ref="AG64:AG127" si="29">IF(H64&gt;0, C64-AC64,"")</f>
        <v>1497.0105764627799</v>
      </c>
      <c r="AH64" s="327">
        <f t="shared" ref="AH64:AH127" si="30">IF(H64&gt;0, $S$54*$S$53*$C$55*SQRT(AF64-AG64),"")</f>
        <v>3.5014000471418836</v>
      </c>
      <c r="AI64" s="327">
        <f t="shared" ref="AI64:AI127" si="31">IF(H64&gt;0, AC64/R64*1000000,"")</f>
        <v>22.211843855511958</v>
      </c>
      <c r="AJ64" s="327">
        <f t="shared" ref="AJ64:AJ127" si="32">IF(H64&gt;0, AJ63+AI64/3600,"")</f>
        <v>9.9002434704242373E-2</v>
      </c>
      <c r="AK64" s="336">
        <f t="shared" ref="AK64:AK127" si="33">IF(H64&gt;0, AK63+AI63*G63/1000000,"")</f>
        <v>1.6638539371708193E-3</v>
      </c>
      <c r="AL64" s="42">
        <f t="shared" ref="AL64:AL127" si="34">IF(H64&gt;0, AL63+AI63*J63/1000000,"")</f>
        <v>0.61759591015539772</v>
      </c>
      <c r="BA64" s="8"/>
    </row>
    <row r="65" spans="1:53" x14ac:dyDescent="0.25">
      <c r="A65" s="115"/>
      <c r="B65" s="327">
        <f t="shared" si="6"/>
        <v>1499.1281268843654</v>
      </c>
      <c r="C65" s="327">
        <f t="shared" si="7"/>
        <v>1497.0105764627799</v>
      </c>
      <c r="D65" s="327">
        <f t="shared" si="8"/>
        <v>3.5014000471418836</v>
      </c>
      <c r="E65" s="327">
        <f t="shared" si="0"/>
        <v>5.0142051803814658</v>
      </c>
      <c r="F65" s="327">
        <f t="shared" si="9"/>
        <v>4.8946318128427242</v>
      </c>
      <c r="G65" s="327">
        <f t="shared" si="10"/>
        <v>23.298403900844072</v>
      </c>
      <c r="H65" s="312">
        <f t="shared" si="11"/>
        <v>0.08</v>
      </c>
      <c r="I65" s="327">
        <f t="shared" si="12"/>
        <v>1.2705302529513118</v>
      </c>
      <c r="J65" s="327">
        <f t="shared" si="1"/>
        <v>1848</v>
      </c>
      <c r="K65" s="334">
        <f t="shared" si="13"/>
        <v>1</v>
      </c>
      <c r="L65" s="322">
        <f t="shared" si="14"/>
        <v>3.5814000471418836</v>
      </c>
      <c r="M65" s="322">
        <f t="shared" si="15"/>
        <v>3.5414000471418836</v>
      </c>
      <c r="N65" s="327">
        <f t="shared" si="16"/>
        <v>9.7685704157528086E-2</v>
      </c>
      <c r="O65" s="327">
        <f t="shared" si="2"/>
        <v>0.74909582860878543</v>
      </c>
      <c r="P65" s="331">
        <f t="shared" si="4"/>
        <v>70.929853356021624</v>
      </c>
      <c r="Q65" s="327">
        <f t="shared" si="17"/>
        <v>-1824.9184144331603</v>
      </c>
      <c r="R65" s="276">
        <f>IF(H65&gt;0, rate1(1,$L$52,$L$51,$L$54,L65,$L$53,$L$50,P65),"")</f>
        <v>1868.8696532654362</v>
      </c>
      <c r="S65" s="322">
        <f t="shared" si="18"/>
        <v>-1.3035481055047982</v>
      </c>
      <c r="T65" s="322">
        <f t="shared" si="19"/>
        <v>4.240662650981248E-2</v>
      </c>
      <c r="U65" s="327">
        <f t="shared" si="3"/>
        <v>3.5014000471418836</v>
      </c>
      <c r="V65" s="335">
        <f t="shared" si="20"/>
        <v>3.5014000471418836</v>
      </c>
      <c r="W65" s="327">
        <f t="shared" si="21"/>
        <v>3.6109473970835637E-4</v>
      </c>
      <c r="X65" s="327">
        <f t="shared" si="22"/>
        <v>-1826.2237145950264</v>
      </c>
      <c r="Y65" s="327">
        <f t="shared" si="5"/>
        <v>69.336601484845488</v>
      </c>
      <c r="Z65" s="107">
        <f>IF(H65&gt;0, rate1(1,$L$52,$L$51,$L$54,U65,$L$53,$L$50,Y65),"")</f>
        <v>1856.5056023306145</v>
      </c>
      <c r="AA65" s="335">
        <f t="shared" si="23"/>
        <v>-1.3131681336148562</v>
      </c>
      <c r="AB65" s="335">
        <f t="shared" si="24"/>
        <v>1.5610397465750273E-4</v>
      </c>
      <c r="AC65" s="327">
        <f t="shared" si="25"/>
        <v>4.240662650981248E-2</v>
      </c>
      <c r="AD65" s="327">
        <f t="shared" si="26"/>
        <v>1.886497620401113</v>
      </c>
      <c r="AE65" s="327">
        <f t="shared" si="27"/>
        <v>-1.384776942575791</v>
      </c>
      <c r="AF65" s="327">
        <f t="shared" si="28"/>
        <v>1499.1834059620132</v>
      </c>
      <c r="AG65" s="327">
        <f t="shared" si="29"/>
        <v>1496.9681698362701</v>
      </c>
      <c r="AH65" s="327">
        <f t="shared" si="30"/>
        <v>3.5812518671771478</v>
      </c>
      <c r="AI65" s="327">
        <f t="shared" si="31"/>
        <v>22.691056294758855</v>
      </c>
      <c r="AJ65" s="327">
        <f t="shared" si="32"/>
        <v>0.10530550589723095</v>
      </c>
      <c r="AK65" s="336">
        <f t="shared" si="33"/>
        <v>2.1243000439415969E-3</v>
      </c>
      <c r="AL65" s="42">
        <f t="shared" si="34"/>
        <v>0.65864339760038382</v>
      </c>
      <c r="BA65" s="8"/>
    </row>
    <row r="66" spans="1:53" x14ac:dyDescent="0.25">
      <c r="A66" s="115"/>
      <c r="B66" s="327">
        <f t="shared" si="6"/>
        <v>1499.1834059620132</v>
      </c>
      <c r="C66" s="327">
        <f t="shared" si="7"/>
        <v>1496.9681698362701</v>
      </c>
      <c r="D66" s="327">
        <f t="shared" si="8"/>
        <v>3.5812518671771478</v>
      </c>
      <c r="E66" s="327">
        <f t="shared" si="0"/>
        <v>5.2620996255567434</v>
      </c>
      <c r="F66" s="327">
        <f t="shared" si="9"/>
        <v>5.138152402969105</v>
      </c>
      <c r="G66" s="327">
        <f t="shared" si="10"/>
        <v>26.130667435014281</v>
      </c>
      <c r="H66" s="312">
        <f t="shared" si="11"/>
        <v>0.08</v>
      </c>
      <c r="I66" s="327">
        <f t="shared" si="12"/>
        <v>1.3291416754458623</v>
      </c>
      <c r="J66" s="327">
        <f t="shared" si="1"/>
        <v>1848</v>
      </c>
      <c r="K66" s="334">
        <f t="shared" si="13"/>
        <v>1</v>
      </c>
      <c r="L66" s="322">
        <f t="shared" si="14"/>
        <v>3.6612518671771479</v>
      </c>
      <c r="M66" s="322">
        <f t="shared" si="15"/>
        <v>3.6212518671771479</v>
      </c>
      <c r="N66" s="327">
        <f t="shared" si="16"/>
        <v>9.9909310102054505E-2</v>
      </c>
      <c r="O66" s="327">
        <f t="shared" si="2"/>
        <v>0.75093062212482253</v>
      </c>
      <c r="P66" s="331">
        <f t="shared" si="4"/>
        <v>73.059100777759127</v>
      </c>
      <c r="Q66" s="327">
        <f t="shared" si="17"/>
        <v>-1822.1015463385759</v>
      </c>
      <c r="R66" s="276">
        <f>IF(H66&gt;0, rate1(1,$L$52,$L$51,$L$54,L66,$L$53,$L$50,P66),"")</f>
        <v>1884.7901807649109</v>
      </c>
      <c r="S66" s="322">
        <f t="shared" si="18"/>
        <v>-1.2873888736594761</v>
      </c>
      <c r="T66" s="322">
        <f t="shared" si="19"/>
        <v>4.3678323022623922E-2</v>
      </c>
      <c r="U66" s="327">
        <f t="shared" si="3"/>
        <v>3.5812518671771478</v>
      </c>
      <c r="V66" s="335">
        <f t="shared" si="20"/>
        <v>3.5812518671771478</v>
      </c>
      <c r="W66" s="327">
        <f t="shared" si="21"/>
        <v>3.7775256922500944E-4</v>
      </c>
      <c r="X66" s="327">
        <f t="shared" si="22"/>
        <v>-1823.5403549462633</v>
      </c>
      <c r="Y66" s="327">
        <f t="shared" si="5"/>
        <v>71.454007256716039</v>
      </c>
      <c r="Z66" s="107">
        <f>IF(H66&gt;0, rate1(1,$L$52,$L$51,$L$54,U66,$L$53,$L$50,Y66),"")</f>
        <v>1872.8514418505151</v>
      </c>
      <c r="AA66" s="335">
        <f t="shared" si="23"/>
        <v>-1.296618561216669</v>
      </c>
      <c r="AB66" s="335">
        <f t="shared" si="24"/>
        <v>1.6448206750749639E-4</v>
      </c>
      <c r="AC66" s="327">
        <f t="shared" si="25"/>
        <v>4.3678323022623922E-2</v>
      </c>
      <c r="AD66" s="327">
        <f t="shared" si="26"/>
        <v>1.83157214984107</v>
      </c>
      <c r="AE66" s="327">
        <f t="shared" si="27"/>
        <v>-1.2760760355524723</v>
      </c>
      <c r="AF66" s="327">
        <f t="shared" si="28"/>
        <v>1499.2396369490928</v>
      </c>
      <c r="AG66" s="327">
        <f t="shared" si="29"/>
        <v>1496.9244915132474</v>
      </c>
      <c r="AH66" s="327">
        <f t="shared" si="30"/>
        <v>3.6611202391019826</v>
      </c>
      <c r="AI66" s="327">
        <f t="shared" si="31"/>
        <v>23.174103657998575</v>
      </c>
      <c r="AJ66" s="327">
        <f t="shared" si="32"/>
        <v>0.11174275691334166</v>
      </c>
      <c r="AK66" s="336">
        <f t="shared" si="33"/>
        <v>2.6529654384336789E-3</v>
      </c>
      <c r="AL66" s="42">
        <f t="shared" si="34"/>
        <v>0.70057646963309816</v>
      </c>
      <c r="BA66" s="8"/>
    </row>
    <row r="67" spans="1:53" x14ac:dyDescent="0.25">
      <c r="A67" s="115"/>
      <c r="B67" s="327">
        <f t="shared" si="6"/>
        <v>1499.2396369490928</v>
      </c>
      <c r="C67" s="327">
        <f t="shared" si="7"/>
        <v>1496.9244915132474</v>
      </c>
      <c r="D67" s="327">
        <f t="shared" si="8"/>
        <v>3.6611202391019826</v>
      </c>
      <c r="E67" s="327">
        <f t="shared" si="0"/>
        <v>5.5188549652663896</v>
      </c>
      <c r="F67" s="327">
        <f t="shared" si="9"/>
        <v>5.3904772954115661</v>
      </c>
      <c r="G67" s="327">
        <f t="shared" si="10"/>
        <v>29.247822890021165</v>
      </c>
      <c r="H67" s="312">
        <f t="shared" si="11"/>
        <v>0.08</v>
      </c>
      <c r="I67" s="327">
        <f t="shared" si="12"/>
        <v>1.3890872615072112</v>
      </c>
      <c r="J67" s="327">
        <f t="shared" si="1"/>
        <v>1848</v>
      </c>
      <c r="K67" s="334">
        <f t="shared" si="13"/>
        <v>1</v>
      </c>
      <c r="L67" s="322">
        <f t="shared" si="14"/>
        <v>3.7411202391019827</v>
      </c>
      <c r="M67" s="322">
        <f t="shared" si="15"/>
        <v>3.7011202391019826</v>
      </c>
      <c r="N67" s="327">
        <f t="shared" si="16"/>
        <v>0.10213375268826219</v>
      </c>
      <c r="O67" s="327">
        <f t="shared" si="2"/>
        <v>0.75279787813982246</v>
      </c>
      <c r="P67" s="331">
        <f t="shared" si="4"/>
        <v>75.204451599599722</v>
      </c>
      <c r="Q67" s="327">
        <f t="shared" si="17"/>
        <v>-1819.0007253237227</v>
      </c>
      <c r="R67" s="276">
        <f>IF(H67&gt;0, rate1(1,$L$52,$L$51,$L$54,L67,$L$53,$L$50,P67),"")</f>
        <v>1900.1727625945562</v>
      </c>
      <c r="S67" s="322">
        <f t="shared" si="18"/>
        <v>-1.2716318512435829</v>
      </c>
      <c r="T67" s="322">
        <f t="shared" si="19"/>
        <v>4.4960521500149793E-2</v>
      </c>
      <c r="U67" s="327">
        <f t="shared" si="3"/>
        <v>3.6611202391019826</v>
      </c>
      <c r="V67" s="335">
        <f t="shared" si="20"/>
        <v>3.6611202391019826</v>
      </c>
      <c r="W67" s="327">
        <f t="shared" si="21"/>
        <v>3.947895785714195E-4</v>
      </c>
      <c r="X67" s="327">
        <f t="shared" si="22"/>
        <v>-1820.5837678105529</v>
      </c>
      <c r="Y67" s="327">
        <f t="shared" si="5"/>
        <v>73.587685663685804</v>
      </c>
      <c r="Z67" s="107">
        <f>IF(H67&gt;0, rate1(1,$L$52,$L$51,$L$54,U67,$L$53,$L$50,Y67),"")</f>
        <v>1888.6399983568558</v>
      </c>
      <c r="AA67" s="335">
        <f t="shared" si="23"/>
        <v>-1.2805103611082409</v>
      </c>
      <c r="AB67" s="335">
        <f t="shared" si="24"/>
        <v>1.7311457352009875E-4</v>
      </c>
      <c r="AC67" s="327">
        <f t="shared" si="25"/>
        <v>4.4960521500149793E-2</v>
      </c>
      <c r="AD67" s="327">
        <f t="shared" si="26"/>
        <v>1.7793387916938079</v>
      </c>
      <c r="AE67" s="327">
        <f t="shared" si="27"/>
        <v>-1.1785658630475917</v>
      </c>
      <c r="AF67" s="327">
        <f t="shared" si="28"/>
        <v>1499.2968101802808</v>
      </c>
      <c r="AG67" s="327">
        <f t="shared" si="29"/>
        <v>1496.8795309917473</v>
      </c>
      <c r="AH67" s="327">
        <f t="shared" si="30"/>
        <v>3.7410047501925252</v>
      </c>
      <c r="AI67" s="327">
        <f t="shared" si="31"/>
        <v>23.661280903089711</v>
      </c>
      <c r="AJ67" s="327">
        <f t="shared" si="32"/>
        <v>0.1183153349419777</v>
      </c>
      <c r="AK67" s="336">
        <f t="shared" si="33"/>
        <v>3.2585202342253873E-3</v>
      </c>
      <c r="AL67" s="42">
        <f t="shared" si="34"/>
        <v>0.74340221319307953</v>
      </c>
      <c r="BA67" s="8"/>
    </row>
    <row r="68" spans="1:53" x14ac:dyDescent="0.25">
      <c r="A68" s="115"/>
      <c r="B68" s="327">
        <f t="shared" si="6"/>
        <v>1499.2968101802808</v>
      </c>
      <c r="C68" s="327">
        <f t="shared" si="7"/>
        <v>1496.8795309917473</v>
      </c>
      <c r="D68" s="327">
        <f t="shared" si="8"/>
        <v>3.7410047501925252</v>
      </c>
      <c r="E68" s="327">
        <f t="shared" si="0"/>
        <v>5.7845814850354795</v>
      </c>
      <c r="F68" s="327">
        <f t="shared" si="9"/>
        <v>5.651718225150935</v>
      </c>
      <c r="G68" s="327">
        <f t="shared" si="10"/>
        <v>32.672379854468446</v>
      </c>
      <c r="H68" s="312">
        <f t="shared" si="11"/>
        <v>0.08</v>
      </c>
      <c r="I68" s="327">
        <f t="shared" si="12"/>
        <v>1.4503675131200906</v>
      </c>
      <c r="J68" s="327">
        <f t="shared" si="1"/>
        <v>1848</v>
      </c>
      <c r="K68" s="334">
        <f t="shared" si="13"/>
        <v>1</v>
      </c>
      <c r="L68" s="322">
        <f t="shared" si="14"/>
        <v>3.8210047501925253</v>
      </c>
      <c r="M68" s="322">
        <f t="shared" si="15"/>
        <v>3.7810047501925252</v>
      </c>
      <c r="N68" s="327">
        <f t="shared" si="16"/>
        <v>0.10435902065194025</v>
      </c>
      <c r="O68" s="327">
        <f t="shared" si="2"/>
        <v>0.75469728842887529</v>
      </c>
      <c r="P68" s="331">
        <f t="shared" si="4"/>
        <v>77.365679428842455</v>
      </c>
      <c r="Q68" s="327">
        <f t="shared" si="17"/>
        <v>-1815.5934958826224</v>
      </c>
      <c r="R68" s="276">
        <f>IF(H68&gt;0, rate1(1,$L$52,$L$51,$L$54,L68,$L$53,$L$50,P68),"")</f>
        <v>1915.0414492984253</v>
      </c>
      <c r="S68" s="322">
        <f t="shared" si="18"/>
        <v>-1.2562256316078066</v>
      </c>
      <c r="T68" s="322">
        <f t="shared" si="19"/>
        <v>4.6253805111491915E-2</v>
      </c>
      <c r="U68" s="327">
        <f t="shared" si="3"/>
        <v>3.7410047501925252</v>
      </c>
      <c r="V68" s="335">
        <f t="shared" si="20"/>
        <v>3.7410047501925252</v>
      </c>
      <c r="W68" s="327">
        <f t="shared" si="21"/>
        <v>4.1220591041746246E-4</v>
      </c>
      <c r="X68" s="327">
        <f t="shared" si="22"/>
        <v>-1817.3321131835864</v>
      </c>
      <c r="Y68" s="327">
        <f t="shared" si="5"/>
        <v>75.737404384061108</v>
      </c>
      <c r="Z68" s="107">
        <f>IF(H68&gt;0, rate1(1,$L$52,$L$51,$L$54,U68,$L$53,$L$50,Y68),"")</f>
        <v>1903.8963696894791</v>
      </c>
      <c r="AA68" s="335">
        <f t="shared" si="23"/>
        <v>-1.264789365939782</v>
      </c>
      <c r="AB68" s="335">
        <f t="shared" si="24"/>
        <v>1.8200629012862581E-4</v>
      </c>
      <c r="AC68" s="327">
        <f t="shared" si="25"/>
        <v>4.6253805111491915E-2</v>
      </c>
      <c r="AD68" s="327">
        <f t="shared" si="26"/>
        <v>1.7295874319348428</v>
      </c>
      <c r="AE68" s="327">
        <f t="shared" si="27"/>
        <v>-1.0908672268291544</v>
      </c>
      <c r="AF68" s="327">
        <f t="shared" si="28"/>
        <v>1499.3549153958213</v>
      </c>
      <c r="AG68" s="327">
        <f t="shared" si="29"/>
        <v>1496.8332771866358</v>
      </c>
      <c r="AH68" s="327">
        <f t="shared" si="30"/>
        <v>3.8209050134992548</v>
      </c>
      <c r="AI68" s="327">
        <f t="shared" si="31"/>
        <v>24.15290025625136</v>
      </c>
      <c r="AJ68" s="327">
        <f t="shared" si="32"/>
        <v>0.12502447390204752</v>
      </c>
      <c r="AK68" s="336">
        <f t="shared" si="33"/>
        <v>3.9505611874299951E-3</v>
      </c>
      <c r="AL68" s="42">
        <f t="shared" si="34"/>
        <v>0.78712826030198935</v>
      </c>
      <c r="BA68" s="8"/>
    </row>
    <row r="69" spans="1:53" x14ac:dyDescent="0.25">
      <c r="A69" s="115"/>
      <c r="B69" s="327">
        <f t="shared" si="6"/>
        <v>1499.3549153958213</v>
      </c>
      <c r="C69" s="327">
        <f t="shared" si="7"/>
        <v>1496.8332771866358</v>
      </c>
      <c r="D69" s="327">
        <f>IF(H69&gt;0, AH68,"")</f>
        <v>3.8209050134992548</v>
      </c>
      <c r="E69" s="327">
        <f>bb2wang($B$6,$H$12,C69,$H$8,$H$9,I69,$H$10,$H$11,$K$10,$K$11,$H$13)</f>
        <v>6.0593867395471772</v>
      </c>
      <c r="F69" s="327">
        <f t="shared" si="9"/>
        <v>5.9219841122913284</v>
      </c>
      <c r="G69" s="327">
        <f t="shared" si="10"/>
        <v>36.428118131278133</v>
      </c>
      <c r="H69" s="312">
        <f t="shared" si="11"/>
        <v>0.08</v>
      </c>
      <c r="I69" s="327">
        <f t="shared" si="12"/>
        <v>1.5129829255113236</v>
      </c>
      <c r="J69" s="327">
        <f t="shared" si="1"/>
        <v>1848</v>
      </c>
      <c r="K69" s="334">
        <f t="shared" si="13"/>
        <v>1</v>
      </c>
      <c r="L69" s="322">
        <f t="shared" si="14"/>
        <v>3.9009050134992549</v>
      </c>
      <c r="M69" s="322">
        <f t="shared" si="15"/>
        <v>3.8609050134992549</v>
      </c>
      <c r="N69" s="327">
        <f>IF(H69&gt;0, 2*($P$53*M69/$S$52/$S$51)^2-(B69-C69)*2,"")</f>
        <v>0.1065851034393086</v>
      </c>
      <c r="O69" s="327">
        <f>IF(wh(B68,$F$51,$F$52,$F$53)&gt;0,wh(B68,$F$51,$F$52,$F$53),O68)</f>
        <v>0.75662852650981738</v>
      </c>
      <c r="P69" s="331">
        <f t="shared" si="4"/>
        <v>79.54256590250273</v>
      </c>
      <c r="Q69" s="327">
        <f>IF(H69&gt;0, M69/$S$54*(B69-C69+N69/2)*E69-J69,"")</f>
        <v>-1811.8561346863639</v>
      </c>
      <c r="R69" s="276">
        <f>IF(H69&gt;0, rate1(1,$L$52,$L$51,$L$54,L69,$L$53,$L$50,P69),"")</f>
        <v>1929.4190115777703</v>
      </c>
      <c r="S69" s="322">
        <f>IF(H69&gt;0, Q69/O69/R69,"")</f>
        <v>-1.2411219205741457</v>
      </c>
      <c r="T69" s="322">
        <f t="shared" si="19"/>
        <v>4.7558815279448483E-2</v>
      </c>
      <c r="U69" s="327">
        <f t="shared" si="3"/>
        <v>3.8209050134992548</v>
      </c>
      <c r="V69" s="335">
        <f t="shared" si="20"/>
        <v>3.8209050134992548</v>
      </c>
      <c r="W69" s="327">
        <f t="shared" si="21"/>
        <v>4.3000170550833161E-4</v>
      </c>
      <c r="X69" s="327">
        <f t="shared" si="22"/>
        <v>-1813.7623038309853</v>
      </c>
      <c r="Y69" s="327">
        <f t="shared" si="5"/>
        <v>77.902939450454099</v>
      </c>
      <c r="Z69" s="107">
        <f>IF(H69&gt;0, rate1(1,$L$52,$L$51,$L$54,U69,$L$53,$L$50,Y69),"")</f>
        <v>1918.6443116520047</v>
      </c>
      <c r="AA69" s="335">
        <f t="shared" si="23"/>
        <v>-1.2494048573465368</v>
      </c>
      <c r="AB69" s="335">
        <f t="shared" si="24"/>
        <v>1.9116243307822054E-4</v>
      </c>
      <c r="AC69" s="327">
        <f t="shared" si="25"/>
        <v>4.7558815279448483E-2</v>
      </c>
      <c r="AD69" s="327">
        <f t="shared" si="26"/>
        <v>1.6821276882094722</v>
      </c>
      <c r="AE69" s="327">
        <f t="shared" si="27"/>
        <v>-1.0117987010189897</v>
      </c>
      <c r="AF69" s="327">
        <f t="shared" si="28"/>
        <v>1499.4139416839812</v>
      </c>
      <c r="AG69" s="327">
        <f t="shared" si="29"/>
        <v>1496.7857183713563</v>
      </c>
      <c r="AH69" s="327">
        <f t="shared" si="30"/>
        <v>3.9008206657494542</v>
      </c>
      <c r="AI69" s="327">
        <f t="shared" si="31"/>
        <v>24.649293385244274</v>
      </c>
      <c r="AJ69" s="327">
        <f t="shared" si="32"/>
        <v>0.13187149984239316</v>
      </c>
      <c r="AK69" s="336">
        <f t="shared" si="33"/>
        <v>4.7396939191893276E-3</v>
      </c>
      <c r="AL69" s="42">
        <f t="shared" si="34"/>
        <v>0.8317628199755418</v>
      </c>
      <c r="BA69" s="8"/>
    </row>
    <row r="70" spans="1:53" x14ac:dyDescent="0.25">
      <c r="A70" s="115"/>
      <c r="B70" s="327">
        <f t="shared" si="6"/>
        <v>1499.4139416839812</v>
      </c>
      <c r="C70" s="327">
        <f t="shared" si="7"/>
        <v>1496.7857183713563</v>
      </c>
      <c r="D70" s="327">
        <f t="shared" si="8"/>
        <v>3.9008206657494542</v>
      </c>
      <c r="E70" s="327">
        <f>bb2wang($B$6,$H$12,C70,$H$8,$H$9,I70,$H$10,$H$11,$K$10,$K$11,$H$13)</f>
        <v>6.3433757471874603</v>
      </c>
      <c r="F70" s="327">
        <f t="shared" si="9"/>
        <v>6.2013812433673188</v>
      </c>
      <c r="G70" s="327">
        <f t="shared" si="10"/>
        <v>40.540129691511787</v>
      </c>
      <c r="H70" s="312">
        <f t="shared" si="11"/>
        <v>0.08</v>
      </c>
      <c r="I70" s="327">
        <f t="shared" si="12"/>
        <v>1.5769339875749211</v>
      </c>
      <c r="J70" s="327">
        <f t="shared" si="1"/>
        <v>1848</v>
      </c>
      <c r="K70" s="334">
        <f t="shared" si="13"/>
        <v>1</v>
      </c>
      <c r="L70" s="322">
        <f t="shared" si="14"/>
        <v>3.9808206657494543</v>
      </c>
      <c r="M70" s="322">
        <f t="shared" si="15"/>
        <v>3.9408206657494542</v>
      </c>
      <c r="N70" s="327">
        <f t="shared" si="16"/>
        <v>0.10881199114916829</v>
      </c>
      <c r="O70" s="327">
        <f t="shared" si="2"/>
        <v>0.75859124582131121</v>
      </c>
      <c r="P70" s="331">
        <f t="shared" si="4"/>
        <v>81.734900243575126</v>
      </c>
      <c r="Q70" s="327">
        <f t="shared" si="17"/>
        <v>-1807.7636085384936</v>
      </c>
      <c r="R70" s="276">
        <f>IF(H70&gt;0, rate1(1,$L$52,$L$51,$L$54,L70,$L$53,$L$50,P70),"")</f>
        <v>1943.3270147180328</v>
      </c>
      <c r="S70" s="322">
        <f t="shared" si="18"/>
        <v>-1.2262751426561722</v>
      </c>
      <c r="T70" s="322">
        <f t="shared" si="19"/>
        <v>4.8876254809791624E-2</v>
      </c>
      <c r="U70" s="327">
        <f t="shared" si="3"/>
        <v>3.9008206657494542</v>
      </c>
      <c r="V70" s="335">
        <f t="shared" si="20"/>
        <v>3.9008206657494542</v>
      </c>
      <c r="W70" s="327">
        <f t="shared" si="21"/>
        <v>4.4817710279243528E-4</v>
      </c>
      <c r="X70" s="327">
        <f t="shared" si="22"/>
        <v>-1809.8499635607704</v>
      </c>
      <c r="Y70" s="327">
        <f t="shared" si="5"/>
        <v>80.084074782147752</v>
      </c>
      <c r="Z70" s="107">
        <f>IF(H70&gt;0, rate1(1,$L$52,$L$51,$L$54,U70,$L$53,$L$50,Y70),"")</f>
        <v>1932.9063160561032</v>
      </c>
      <c r="AA70" s="335">
        <f t="shared" si="23"/>
        <v>-1.2343091304451803</v>
      </c>
      <c r="AB70" s="335">
        <f t="shared" si="24"/>
        <v>2.0058867266193247E-4</v>
      </c>
      <c r="AC70" s="327">
        <f t="shared" si="25"/>
        <v>4.8876254809791624E-2</v>
      </c>
      <c r="AD70" s="327">
        <f t="shared" si="26"/>
        <v>1.6367866218745795</v>
      </c>
      <c r="AE70" s="327">
        <f t="shared" si="27"/>
        <v>-0.94034392867521277</v>
      </c>
      <c r="AF70" s="327">
        <f t="shared" si="28"/>
        <v>1499.4738774203206</v>
      </c>
      <c r="AG70" s="327">
        <f t="shared" si="29"/>
        <v>1496.7368421165465</v>
      </c>
      <c r="AH70" s="327">
        <f t="shared" si="30"/>
        <v>3.9807513654607973</v>
      </c>
      <c r="AI70" s="327">
        <f t="shared" si="31"/>
        <v>25.15081323916208</v>
      </c>
      <c r="AJ70" s="327">
        <f t="shared" si="32"/>
        <v>0.13885783685327152</v>
      </c>
      <c r="AK70" s="336">
        <f t="shared" si="33"/>
        <v>5.6376212904795386E-3</v>
      </c>
      <c r="AL70" s="42">
        <f t="shared" si="34"/>
        <v>0.87731471415147322</v>
      </c>
      <c r="BA70" s="8"/>
    </row>
    <row r="71" spans="1:53" x14ac:dyDescent="0.25">
      <c r="A71" s="115"/>
      <c r="B71" s="327">
        <f t="shared" si="6"/>
        <v>1499.4738774203206</v>
      </c>
      <c r="C71" s="327">
        <f t="shared" si="7"/>
        <v>1496.7368421165465</v>
      </c>
      <c r="D71" s="327">
        <f t="shared" si="8"/>
        <v>3.9807513654607973</v>
      </c>
      <c r="E71" s="327">
        <f t="shared" si="0"/>
        <v>6.6366512079403002</v>
      </c>
      <c r="F71" s="327">
        <f t="shared" si="9"/>
        <v>6.4900134775638803</v>
      </c>
      <c r="G71" s="327">
        <f t="shared" si="10"/>
        <v>45.034861317705463</v>
      </c>
      <c r="H71" s="312">
        <f t="shared" si="11"/>
        <v>0.08</v>
      </c>
      <c r="I71" s="327">
        <f t="shared" si="12"/>
        <v>1.6422211822644386</v>
      </c>
      <c r="J71" s="327">
        <f t="shared" si="1"/>
        <v>1848</v>
      </c>
      <c r="K71" s="334">
        <f t="shared" si="13"/>
        <v>1</v>
      </c>
      <c r="L71" s="322">
        <f t="shared" si="14"/>
        <v>4.0607513654607974</v>
      </c>
      <c r="M71" s="322">
        <f t="shared" si="15"/>
        <v>4.0207513654607974</v>
      </c>
      <c r="N71" s="327">
        <f t="shared" si="16"/>
        <v>0.11103967448087548</v>
      </c>
      <c r="O71" s="327">
        <f t="shared" si="2"/>
        <v>0.76058507777907047</v>
      </c>
      <c r="P71" s="331">
        <f t="shared" si="4"/>
        <v>83.942478850337267</v>
      </c>
      <c r="Q71" s="327">
        <f t="shared" si="17"/>
        <v>-1803.2895316166237</v>
      </c>
      <c r="R71" s="276">
        <f>IF(H71&gt;0, rate1(1,$L$52,$L$51,$L$54,L71,$L$53,$L$50,P71),"")</f>
        <v>1956.7858888267831</v>
      </c>
      <c r="S71" s="322">
        <f t="shared" si="18"/>
        <v>-1.21164209478965</v>
      </c>
      <c r="T71" s="322">
        <f t="shared" si="19"/>
        <v>5.0206891405472409E-2</v>
      </c>
      <c r="U71" s="327">
        <f t="shared" si="3"/>
        <v>3.9807513654607973</v>
      </c>
      <c r="V71" s="335">
        <f t="shared" si="20"/>
        <v>3.9807513654607973</v>
      </c>
      <c r="W71" s="327">
        <f t="shared" si="21"/>
        <v>4.6673223953330734E-4</v>
      </c>
      <c r="X71" s="327">
        <f t="shared" si="22"/>
        <v>-1805.5693848202084</v>
      </c>
      <c r="Y71" s="327">
        <f t="shared" si="5"/>
        <v>82.280601752694423</v>
      </c>
      <c r="Z71" s="107">
        <f>IF(H71&gt;0, rate1(1,$L$52,$L$51,$L$54,U71,$L$53,$L$50,Y71),"")</f>
        <v>1946.7036844326278</v>
      </c>
      <c r="AA71" s="335">
        <f t="shared" si="23"/>
        <v>-1.2194571118507138</v>
      </c>
      <c r="AB71" s="335">
        <f t="shared" si="24"/>
        <v>2.1029117302659594E-4</v>
      </c>
      <c r="AC71" s="327">
        <f t="shared" si="25"/>
        <v>5.0206891405472409E-2</v>
      </c>
      <c r="AD71" s="327">
        <f t="shared" si="26"/>
        <v>1.5934067567322088</v>
      </c>
      <c r="AE71" s="327">
        <f t="shared" si="27"/>
        <v>-0.87562550846185983</v>
      </c>
      <c r="AF71" s="327">
        <f t="shared" si="28"/>
        <v>1499.5347102033961</v>
      </c>
      <c r="AG71" s="327">
        <f t="shared" si="29"/>
        <v>1496.6866352251411</v>
      </c>
      <c r="AH71" s="327">
        <f t="shared" si="30"/>
        <v>4.0606967912377119</v>
      </c>
      <c r="AI71" s="327">
        <f t="shared" si="31"/>
        <v>25.657835991230812</v>
      </c>
      <c r="AJ71" s="327">
        <f t="shared" si="32"/>
        <v>0.14598501351750232</v>
      </c>
      <c r="AK71" s="336">
        <f t="shared" si="33"/>
        <v>6.657238521042161E-3</v>
      </c>
      <c r="AL71" s="42">
        <f t="shared" si="34"/>
        <v>0.92379341701744477</v>
      </c>
      <c r="BA71" s="8"/>
    </row>
    <row r="72" spans="1:53" x14ac:dyDescent="0.25">
      <c r="A72" s="115"/>
      <c r="B72" s="327">
        <f t="shared" si="6"/>
        <v>1499.5347102033961</v>
      </c>
      <c r="C72" s="327">
        <f t="shared" si="7"/>
        <v>1496.6866352251411</v>
      </c>
      <c r="D72" s="327">
        <f t="shared" si="8"/>
        <v>4.0606967912377119</v>
      </c>
      <c r="E72" s="327">
        <f t="shared" si="0"/>
        <v>6.9393137437834138</v>
      </c>
      <c r="F72" s="327">
        <f t="shared" si="9"/>
        <v>6.787982475861857</v>
      </c>
      <c r="G72" s="327">
        <f t="shared" si="10"/>
        <v>49.940158025271437</v>
      </c>
      <c r="H72" s="312">
        <f t="shared" si="11"/>
        <v>0.08</v>
      </c>
      <c r="I72" s="327">
        <f t="shared" si="12"/>
        <v>1.7088449869529996</v>
      </c>
      <c r="J72" s="327">
        <f t="shared" si="1"/>
        <v>1848</v>
      </c>
      <c r="K72" s="334">
        <f t="shared" si="13"/>
        <v>1</v>
      </c>
      <c r="L72" s="322">
        <f t="shared" si="14"/>
        <v>4.1406967912377119</v>
      </c>
      <c r="M72" s="322">
        <f t="shared" si="15"/>
        <v>4.1006967912377119</v>
      </c>
      <c r="N72" s="327">
        <f t="shared" si="16"/>
        <v>0.11326814468735336</v>
      </c>
      <c r="O72" s="327">
        <f t="shared" si="2"/>
        <v>0.7626096297244962</v>
      </c>
      <c r="P72" s="331">
        <f t="shared" si="4"/>
        <v>86.165104915535025</v>
      </c>
      <c r="Q72" s="327">
        <f t="shared" si="17"/>
        <v>-1798.4061219042696</v>
      </c>
      <c r="R72" s="276">
        <f>IF(H72&gt;0, rate1(1,$L$52,$L$51,$L$54,L72,$L$53,$L$50,P72),"")</f>
        <v>1969.814995030971</v>
      </c>
      <c r="S72" s="322">
        <f t="shared" si="18"/>
        <v>-1.1971816407893134</v>
      </c>
      <c r="T72" s="322">
        <f t="shared" si="19"/>
        <v>5.1551561593543536E-2</v>
      </c>
      <c r="U72" s="327">
        <f t="shared" si="3"/>
        <v>4.0606967912377119</v>
      </c>
      <c r="V72" s="335">
        <f t="shared" si="20"/>
        <v>4.0606967912377119</v>
      </c>
      <c r="W72" s="327">
        <f t="shared" si="21"/>
        <v>4.8566725139398415E-4</v>
      </c>
      <c r="X72" s="327">
        <f t="shared" si="22"/>
        <v>-1800.8934855316854</v>
      </c>
      <c r="Y72" s="327">
        <f t="shared" si="5"/>
        <v>84.49231878934792</v>
      </c>
      <c r="Z72" s="107">
        <f>IF(H72&gt;0, rate1(1,$L$52,$L$51,$L$54,U72,$L$53,$L$50,Y72),"")</f>
        <v>1960.056597546785</v>
      </c>
      <c r="AA72" s="335">
        <f t="shared" si="23"/>
        <v>-1.2048060234801647</v>
      </c>
      <c r="AB72" s="335">
        <f t="shared" si="24"/>
        <v>2.2027663487030261E-4</v>
      </c>
      <c r="AC72" s="327">
        <f t="shared" si="25"/>
        <v>5.1551561593543536E-2</v>
      </c>
      <c r="AD72" s="327">
        <f t="shared" si="26"/>
        <v>1.5518443579024273</v>
      </c>
      <c r="AE72" s="327">
        <f t="shared" si="27"/>
        <v>-0.8168834648102099</v>
      </c>
      <c r="AF72" s="327">
        <f t="shared" si="28"/>
        <v>1499.5964267864899</v>
      </c>
      <c r="AG72" s="327">
        <f t="shared" si="29"/>
        <v>1496.6350836635477</v>
      </c>
      <c r="AH72" s="327">
        <f t="shared" si="30"/>
        <v>4.1406566402310947</v>
      </c>
      <c r="AI72" s="327">
        <f t="shared" si="31"/>
        <v>26.170763103939617</v>
      </c>
      <c r="AJ72" s="327">
        <f t="shared" si="32"/>
        <v>0.15325466993526332</v>
      </c>
      <c r="AK72" s="336">
        <f t="shared" si="33"/>
        <v>7.8127356066196724E-3</v>
      </c>
      <c r="AL72" s="42">
        <f t="shared" si="34"/>
        <v>0.97120909792923926</v>
      </c>
      <c r="BA72" s="8"/>
    </row>
    <row r="73" spans="1:53" x14ac:dyDescent="0.25">
      <c r="A73" s="115"/>
      <c r="B73" s="327">
        <f t="shared" si="6"/>
        <v>1499.5964267864899</v>
      </c>
      <c r="C73" s="327">
        <f t="shared" si="7"/>
        <v>1496.6350836635477</v>
      </c>
      <c r="D73" s="327">
        <f t="shared" si="8"/>
        <v>4.1406566402310947</v>
      </c>
      <c r="E73" s="327">
        <f t="shared" si="0"/>
        <v>7.2514621608875487</v>
      </c>
      <c r="F73" s="327">
        <f t="shared" si="9"/>
        <v>7.0953879523354813</v>
      </c>
      <c r="G73" s="327">
        <f t="shared" si="10"/>
        <v>55.285307368010457</v>
      </c>
      <c r="H73" s="312">
        <f t="shared" si="11"/>
        <v>0.08</v>
      </c>
      <c r="I73" s="327">
        <f t="shared" si="12"/>
        <v>1.7768058737653518</v>
      </c>
      <c r="J73" s="327">
        <f t="shared" si="1"/>
        <v>1848</v>
      </c>
      <c r="K73" s="334">
        <f t="shared" si="13"/>
        <v>1</v>
      </c>
      <c r="L73" s="322">
        <f t="shared" si="14"/>
        <v>4.2206566402310948</v>
      </c>
      <c r="M73" s="322">
        <f t="shared" si="15"/>
        <v>4.1806566402310947</v>
      </c>
      <c r="N73" s="327">
        <f t="shared" si="16"/>
        <v>0.11549739353262911</v>
      </c>
      <c r="O73" s="327">
        <f t="shared" si="2"/>
        <v>0.76466448275280874</v>
      </c>
      <c r="P73" s="331">
        <f t="shared" si="4"/>
        <v>88.402588072777533</v>
      </c>
      <c r="Q73" s="327">
        <f t="shared" si="17"/>
        <v>-1793.0841567043124</v>
      </c>
      <c r="R73" s="276">
        <f>IF(H73&gt;0, rate1(1,$L$52,$L$51,$L$54,L73,$L$53,$L$50,P73),"")</f>
        <v>1982.4326877993797</v>
      </c>
      <c r="S73" s="322">
        <f t="shared" si="18"/>
        <v>-1.1828544408280479</v>
      </c>
      <c r="T73" s="322">
        <f t="shared" si="19"/>
        <v>5.2911175098242523E-2</v>
      </c>
      <c r="U73" s="327">
        <f t="shared" si="3"/>
        <v>4.1406566402310947</v>
      </c>
      <c r="V73" s="335">
        <f t="shared" si="20"/>
        <v>4.1406566402310947</v>
      </c>
      <c r="W73" s="327">
        <f t="shared" si="21"/>
        <v>5.0498227256490225E-4</v>
      </c>
      <c r="X73" s="327">
        <f t="shared" si="22"/>
        <v>-1795.7937650652691</v>
      </c>
      <c r="Y73" s="327">
        <f t="shared" si="5"/>
        <v>86.719031001449338</v>
      </c>
      <c r="Z73" s="107">
        <f>IF(H73&gt;0, rate1(1,$L$52,$L$51,$L$54,U73,$L$53,$L$50,Y73),"")</f>
        <v>1972.9841808770566</v>
      </c>
      <c r="AA73" s="335">
        <f t="shared" si="23"/>
        <v>-1.1903150856546008</v>
      </c>
      <c r="AB73" s="335">
        <f t="shared" si="24"/>
        <v>2.3055234193119868E-4</v>
      </c>
      <c r="AC73" s="327">
        <f t="shared" si="25"/>
        <v>5.2911175098242523E-2</v>
      </c>
      <c r="AD73" s="327">
        <f t="shared" si="26"/>
        <v>1.511967932132682</v>
      </c>
      <c r="AE73" s="327">
        <f t="shared" si="27"/>
        <v>-0.76345742094426206</v>
      </c>
      <c r="AF73" s="327">
        <f t="shared" si="28"/>
        <v>1499.6590130049244</v>
      </c>
      <c r="AG73" s="327">
        <f t="shared" si="29"/>
        <v>1496.5821724884495</v>
      </c>
      <c r="AH73" s="327">
        <f t="shared" si="30"/>
        <v>4.2206306267433176</v>
      </c>
      <c r="AI73" s="327">
        <f t="shared" si="31"/>
        <v>26.690023537181045</v>
      </c>
      <c r="AJ73" s="327">
        <f t="shared" si="32"/>
        <v>0.16066856536225804</v>
      </c>
      <c r="AK73" s="336">
        <f t="shared" si="33"/>
        <v>9.1197076516723596E-3</v>
      </c>
      <c r="AL73" s="42">
        <f t="shared" si="34"/>
        <v>1.0195726681453197</v>
      </c>
      <c r="BA73" s="8"/>
    </row>
    <row r="74" spans="1:53" x14ac:dyDescent="0.25">
      <c r="A74" s="115"/>
      <c r="B74" s="327">
        <f t="shared" si="6"/>
        <v>1499.6590130049244</v>
      </c>
      <c r="C74" s="327">
        <f t="shared" si="7"/>
        <v>1496.5821724884495</v>
      </c>
      <c r="D74" s="327">
        <f t="shared" si="8"/>
        <v>4.2206306267433176</v>
      </c>
      <c r="E74" s="327">
        <f t="shared" si="0"/>
        <v>7.573193733072288</v>
      </c>
      <c r="F74" s="327">
        <f t="shared" si="9"/>
        <v>7.4123279469799179</v>
      </c>
      <c r="G74" s="327">
        <f t="shared" si="10"/>
        <v>61.101084746757188</v>
      </c>
      <c r="H74" s="312">
        <f t="shared" si="11"/>
        <v>0.08</v>
      </c>
      <c r="I74" s="327">
        <f t="shared" si="12"/>
        <v>1.8461043098849585</v>
      </c>
      <c r="J74" s="327">
        <f t="shared" si="1"/>
        <v>1848</v>
      </c>
      <c r="K74" s="334">
        <f t="shared" si="13"/>
        <v>1</v>
      </c>
      <c r="L74" s="322">
        <f t="shared" si="14"/>
        <v>4.3006306267433176</v>
      </c>
      <c r="M74" s="322">
        <f t="shared" si="15"/>
        <v>4.2606306267433176</v>
      </c>
      <c r="N74" s="327">
        <f t="shared" si="16"/>
        <v>0.11772741325335723</v>
      </c>
      <c r="O74" s="327">
        <f t="shared" si="2"/>
        <v>0.76674918940694958</v>
      </c>
      <c r="P74" s="331">
        <f t="shared" si="4"/>
        <v>90.654744067727094</v>
      </c>
      <c r="Q74" s="327">
        <f t="shared" si="17"/>
        <v>-1787.2929271123103</v>
      </c>
      <c r="R74" s="276">
        <f>IF(H74&gt;0, rate1(1,$L$52,$L$51,$L$54,L74,$L$53,$L$50,P74),"")</f>
        <v>1994.6563735660056</v>
      </c>
      <c r="S74" s="322">
        <f t="shared" si="18"/>
        <v>-1.1686227110902145</v>
      </c>
      <c r="T74" s="322">
        <f t="shared" si="19"/>
        <v>5.4286719700621905E-2</v>
      </c>
      <c r="U74" s="327">
        <f t="shared" si="3"/>
        <v>4.2206306267433176</v>
      </c>
      <c r="V74" s="335">
        <f t="shared" si="20"/>
        <v>4.2206306267433176</v>
      </c>
      <c r="W74" s="327">
        <f t="shared" si="21"/>
        <v>5.2467743581896542E-4</v>
      </c>
      <c r="X74" s="327">
        <f t="shared" si="22"/>
        <v>-1790.240259232811</v>
      </c>
      <c r="Y74" s="327">
        <f t="shared" si="5"/>
        <v>88.960549835168578</v>
      </c>
      <c r="Z74" s="107">
        <f>IF(H74&gt;0, rate1(1,$L$52,$L$51,$L$54,U74,$L$53,$L$50,Y74),"")</f>
        <v>1985.5045662312559</v>
      </c>
      <c r="AA74" s="335">
        <f t="shared" si="23"/>
        <v>-1.1759452540023476</v>
      </c>
      <c r="AB74" s="335">
        <f t="shared" si="24"/>
        <v>2.4112621163326352E-4</v>
      </c>
      <c r="AC74" s="327">
        <f t="shared" si="25"/>
        <v>5.4286719700621905E-2</v>
      </c>
      <c r="AD74" s="327">
        <f t="shared" si="26"/>
        <v>1.4736569172199132</v>
      </c>
      <c r="AE74" s="327">
        <f t="shared" si="27"/>
        <v>-0.71477177764827926</v>
      </c>
      <c r="AF74" s="327">
        <f t="shared" si="28"/>
        <v>1499.7224536984772</v>
      </c>
      <c r="AG74" s="327">
        <f t="shared" si="29"/>
        <v>1496.5278857687488</v>
      </c>
      <c r="AH74" s="327">
        <f t="shared" si="30"/>
        <v>4.300618480960841</v>
      </c>
      <c r="AI74" s="327">
        <f t="shared" si="31"/>
        <v>27.216076122209074</v>
      </c>
      <c r="AJ74" s="327">
        <f t="shared" si="32"/>
        <v>0.16822858650731612</v>
      </c>
      <c r="AK74" s="336">
        <f t="shared" si="33"/>
        <v>1.0595273806584848E-2</v>
      </c>
      <c r="AL74" s="42">
        <f t="shared" si="34"/>
        <v>1.0688958316420303</v>
      </c>
      <c r="BA74" s="8"/>
    </row>
    <row r="75" spans="1:53" x14ac:dyDescent="0.25">
      <c r="A75" s="115"/>
      <c r="B75" s="327">
        <f t="shared" si="6"/>
        <v>1499.7224536984772</v>
      </c>
      <c r="C75" s="327">
        <f t="shared" si="7"/>
        <v>1496.5278857687488</v>
      </c>
      <c r="D75" s="327">
        <f t="shared" si="8"/>
        <v>4.300618480960841</v>
      </c>
      <c r="E75" s="327">
        <f t="shared" si="0"/>
        <v>7.9046045061446</v>
      </c>
      <c r="F75" s="327">
        <f t="shared" si="9"/>
        <v>7.738899119608444</v>
      </c>
      <c r="G75" s="327">
        <f t="shared" si="10"/>
        <v>67.419799853987456</v>
      </c>
      <c r="H75" s="312">
        <f t="shared" si="11"/>
        <v>0.08</v>
      </c>
      <c r="I75" s="327">
        <f t="shared" si="12"/>
        <v>1.9167407578370783</v>
      </c>
      <c r="J75" s="327">
        <f t="shared" si="1"/>
        <v>1848</v>
      </c>
      <c r="K75" s="334">
        <f t="shared" si="13"/>
        <v>1</v>
      </c>
      <c r="L75" s="322">
        <f t="shared" si="14"/>
        <v>4.3806184809608411</v>
      </c>
      <c r="M75" s="322">
        <f t="shared" si="15"/>
        <v>4.340618480960841</v>
      </c>
      <c r="N75" s="327">
        <f t="shared" si="16"/>
        <v>0.11995819652387318</v>
      </c>
      <c r="O75" s="327">
        <f t="shared" si="2"/>
        <v>0.76886327122235998</v>
      </c>
      <c r="P75" s="331">
        <f t="shared" si="4"/>
        <v>92.921394451871052</v>
      </c>
      <c r="Q75" s="327">
        <f t="shared" si="17"/>
        <v>-1781.0001913137698</v>
      </c>
      <c r="R75" s="276">
        <f>IF(H75&gt;0, rate1(1,$L$52,$L$51,$L$54,L75,$L$53,$L$50,P75),"")</f>
        <v>2006.5025658350171</v>
      </c>
      <c r="S75" s="322">
        <f t="shared" si="18"/>
        <v>-1.1544500094601047</v>
      </c>
      <c r="T75" s="322">
        <f t="shared" si="19"/>
        <v>5.5679266632848987E-2</v>
      </c>
      <c r="U75" s="327">
        <f t="shared" si="3"/>
        <v>4.300618480960841</v>
      </c>
      <c r="V75" s="335">
        <f t="shared" si="20"/>
        <v>4.300618480960841</v>
      </c>
      <c r="W75" s="327">
        <f t="shared" si="21"/>
        <v>5.4475287261368521E-4</v>
      </c>
      <c r="X75" s="327">
        <f t="shared" si="22"/>
        <v>-1784.2014941748273</v>
      </c>
      <c r="Y75" s="327">
        <f t="shared" si="5"/>
        <v>91.216692752226734</v>
      </c>
      <c r="Z75" s="107">
        <f>IF(H75&gt;0, rate1(1,$L$52,$L$51,$L$54,U75,$L$53,$L$50,Y75),"")</f>
        <v>1997.6349496808748</v>
      </c>
      <c r="AA75" s="335">
        <f t="shared" si="23"/>
        <v>-1.1616589854862014</v>
      </c>
      <c r="AB75" s="335">
        <f t="shared" si="24"/>
        <v>2.5200685041963693E-4</v>
      </c>
      <c r="AC75" s="327">
        <f t="shared" si="25"/>
        <v>5.5679266632848987E-2</v>
      </c>
      <c r="AD75" s="327">
        <f t="shared" si="26"/>
        <v>1.4368005334467275</v>
      </c>
      <c r="AE75" s="327">
        <f t="shared" si="27"/>
        <v>-0.67032334273652605</v>
      </c>
      <c r="AF75" s="327">
        <f t="shared" si="28"/>
        <v>1499.7867326283683</v>
      </c>
      <c r="AG75" s="327">
        <f t="shared" si="29"/>
        <v>1496.472206502116</v>
      </c>
      <c r="AH75" s="327">
        <f t="shared" si="30"/>
        <v>4.3806199478021544</v>
      </c>
      <c r="AI75" s="327">
        <f t="shared" si="31"/>
        <v>27.749412126805705</v>
      </c>
      <c r="AJ75" s="327">
        <f t="shared" si="32"/>
        <v>0.17593675654253993</v>
      </c>
      <c r="AK75" s="336">
        <f t="shared" si="33"/>
        <v>1.2258205580202139E-2</v>
      </c>
      <c r="AL75" s="42">
        <f t="shared" si="34"/>
        <v>1.1191911403158727</v>
      </c>
      <c r="BA75" s="8"/>
    </row>
    <row r="76" spans="1:53" x14ac:dyDescent="0.25">
      <c r="A76" s="115"/>
      <c r="B76" s="327">
        <f t="shared" si="6"/>
        <v>1499.7867326283683</v>
      </c>
      <c r="C76" s="327">
        <f t="shared" si="7"/>
        <v>1496.472206502116</v>
      </c>
      <c r="D76" s="327">
        <f t="shared" si="8"/>
        <v>4.3806199478021544</v>
      </c>
      <c r="E76" s="327">
        <f t="shared" si="0"/>
        <v>8.2457896229528789</v>
      </c>
      <c r="F76" s="327">
        <f t="shared" si="9"/>
        <v>8.075197064548739</v>
      </c>
      <c r="G76" s="327">
        <f t="shared" si="10"/>
        <v>74.275344402406915</v>
      </c>
      <c r="H76" s="312">
        <f t="shared" si="11"/>
        <v>0.08</v>
      </c>
      <c r="I76" s="327">
        <f t="shared" si="12"/>
        <v>1.988715675751382</v>
      </c>
      <c r="J76" s="327">
        <f t="shared" si="1"/>
        <v>1848</v>
      </c>
      <c r="K76" s="334">
        <f t="shared" si="13"/>
        <v>1</v>
      </c>
      <c r="L76" s="322">
        <f t="shared" si="14"/>
        <v>4.4606199478021544</v>
      </c>
      <c r="M76" s="322">
        <f t="shared" si="15"/>
        <v>4.4206199478021544</v>
      </c>
      <c r="N76" s="327">
        <f t="shared" si="16"/>
        <v>0.12218973642442688</v>
      </c>
      <c r="O76" s="327">
        <f t="shared" si="2"/>
        <v>0.7710062161062633</v>
      </c>
      <c r="P76" s="331">
        <f t="shared" si="4"/>
        <v>95.202366296980983</v>
      </c>
      <c r="Q76" s="327">
        <f t="shared" si="17"/>
        <v>-1774.1721265538602</v>
      </c>
      <c r="R76" s="276">
        <f>IF(H76&gt;0, rate1(1,$L$52,$L$51,$L$54,L76,$L$53,$L$50,P76),"")</f>
        <v>2017.9869369499384</v>
      </c>
      <c r="S76" s="322">
        <f t="shared" si="18"/>
        <v>-1.1403010436953069</v>
      </c>
      <c r="T76" s="322">
        <f t="shared" si="19"/>
        <v>5.708997656397994E-2</v>
      </c>
      <c r="U76" s="327">
        <f t="shared" si="3"/>
        <v>4.3806199478021544</v>
      </c>
      <c r="V76" s="335">
        <f t="shared" si="20"/>
        <v>4.3806199478021544</v>
      </c>
      <c r="W76" s="327">
        <f t="shared" si="21"/>
        <v>5.6520871314891252E-4</v>
      </c>
      <c r="X76" s="327">
        <f t="shared" si="22"/>
        <v>-1777.6444389964374</v>
      </c>
      <c r="Y76" s="327">
        <f t="shared" si="5"/>
        <v>93.487282930564234</v>
      </c>
      <c r="Z76" s="107">
        <f>IF(H76&gt;0, rate1(1,$L$52,$L$51,$L$54,U76,$L$53,$L$50,Y76),"")</f>
        <v>2009.3916459990726</v>
      </c>
      <c r="AA76" s="335">
        <f t="shared" si="23"/>
        <v>-1.1474200295566099</v>
      </c>
      <c r="AB76" s="335">
        <f t="shared" si="24"/>
        <v>2.6320361427643684E-4</v>
      </c>
      <c r="AC76" s="327">
        <f t="shared" si="25"/>
        <v>5.708997656397994E-2</v>
      </c>
      <c r="AD76" s="327">
        <f t="shared" si="26"/>
        <v>1.4012967742305011</v>
      </c>
      <c r="AE76" s="327">
        <f t="shared" si="27"/>
        <v>-0.62967096718486726</v>
      </c>
      <c r="AF76" s="327">
        <f t="shared" si="28"/>
        <v>1499.8518323882288</v>
      </c>
      <c r="AG76" s="327">
        <f t="shared" si="29"/>
        <v>1496.4151165255521</v>
      </c>
      <c r="AH76" s="327">
        <f t="shared" si="30"/>
        <v>4.4606347858687529</v>
      </c>
      <c r="AI76" s="327">
        <f t="shared" si="31"/>
        <v>28.290558040116892</v>
      </c>
      <c r="AJ76" s="327">
        <f t="shared" si="32"/>
        <v>0.18379524488701685</v>
      </c>
      <c r="AK76" s="336">
        <f t="shared" si="33"/>
        <v>1.4129065391857192E-2</v>
      </c>
      <c r="AL76" s="42">
        <f t="shared" si="34"/>
        <v>1.1704720539262097</v>
      </c>
      <c r="BA76" s="8"/>
    </row>
    <row r="77" spans="1:53" x14ac:dyDescent="0.25">
      <c r="A77" s="115"/>
      <c r="B77" s="327">
        <f t="shared" si="6"/>
        <v>1499.8518323882288</v>
      </c>
      <c r="C77" s="327">
        <f t="shared" si="7"/>
        <v>1496.4151165255521</v>
      </c>
      <c r="D77" s="327">
        <f t="shared" si="8"/>
        <v>4.4606347858687529</v>
      </c>
      <c r="E77" s="327">
        <f>bb2wang($B$6,$H$12,C77,$H$8,$H$9,I77,$H$10,$H$11,$K$10,$K$11,$H$13)</f>
        <v>8.5968436692148114</v>
      </c>
      <c r="F77" s="327">
        <f t="shared" si="9"/>
        <v>8.4213166460838451</v>
      </c>
      <c r="G77" s="327">
        <f t="shared" si="10"/>
        <v>81.703241301982032</v>
      </c>
      <c r="H77" s="312">
        <f t="shared" si="11"/>
        <v>0.08</v>
      </c>
      <c r="I77" s="327">
        <f t="shared" si="12"/>
        <v>2.0620295176060153</v>
      </c>
      <c r="J77" s="327">
        <f t="shared" si="1"/>
        <v>1848</v>
      </c>
      <c r="K77" s="334">
        <f t="shared" si="13"/>
        <v>1</v>
      </c>
      <c r="L77" s="322">
        <f t="shared" si="14"/>
        <v>4.540634785868753</v>
      </c>
      <c r="M77" s="322">
        <f t="shared" si="15"/>
        <v>4.500634785868753</v>
      </c>
      <c r="N77" s="327">
        <f t="shared" si="16"/>
        <v>0.12442202641226174</v>
      </c>
      <c r="O77" s="327">
        <f t="shared" si="2"/>
        <v>0.77317747553359273</v>
      </c>
      <c r="P77" s="331">
        <f t="shared" si="4"/>
        <v>97.497491928516951</v>
      </c>
      <c r="Q77" s="327">
        <f t="shared" si="17"/>
        <v>-1766.7732796111382</v>
      </c>
      <c r="R77" s="276">
        <f>IF(H77&gt;0, rate1(1,$L$52,$L$51,$L$54,L77,$L$53,$L$50,P77),"")</f>
        <v>2029.1243667080466</v>
      </c>
      <c r="S77" s="322">
        <f t="shared" si="18"/>
        <v>-1.1261414990252232</v>
      </c>
      <c r="T77" s="322">
        <f t="shared" si="19"/>
        <v>5.8520106243778118E-2</v>
      </c>
      <c r="U77" s="327">
        <f t="shared" si="3"/>
        <v>4.4606347858687529</v>
      </c>
      <c r="V77" s="335">
        <f t="shared" si="20"/>
        <v>4.4606347858687529</v>
      </c>
      <c r="W77" s="327">
        <f t="shared" si="21"/>
        <v>5.8604508645210274E-4</v>
      </c>
      <c r="X77" s="327">
        <f t="shared" si="22"/>
        <v>-1770.534456992453</v>
      </c>
      <c r="Y77" s="327">
        <f t="shared" si="5"/>
        <v>95.772148985085622</v>
      </c>
      <c r="Z77" s="107">
        <f>IF(H77&gt;0, rate1(1,$L$52,$L$51,$L$54,U77,$L$53,$L$50,Y77),"")</f>
        <v>2020.7901397875282</v>
      </c>
      <c r="AA77" s="335">
        <f t="shared" si="23"/>
        <v>-1.1331932409975041</v>
      </c>
      <c r="AB77" s="335">
        <f t="shared" si="24"/>
        <v>2.7472667510331216E-4</v>
      </c>
      <c r="AC77" s="327">
        <f t="shared" si="25"/>
        <v>5.8520106243778118E-2</v>
      </c>
      <c r="AD77" s="327">
        <f t="shared" si="26"/>
        <v>1.3670515167341419</v>
      </c>
      <c r="AE77" s="327">
        <f t="shared" si="27"/>
        <v>-0.59242683102829097</v>
      </c>
      <c r="AF77" s="327">
        <f t="shared" si="28"/>
        <v>1499.9177343083973</v>
      </c>
      <c r="AG77" s="327">
        <f t="shared" si="29"/>
        <v>1496.3565964193083</v>
      </c>
      <c r="AH77" s="327">
        <f t="shared" si="30"/>
        <v>4.5406627664868173</v>
      </c>
      <c r="AI77" s="327">
        <f t="shared" si="31"/>
        <v>28.840078609236905</v>
      </c>
      <c r="AJ77" s="327">
        <f t="shared" si="32"/>
        <v>0.1918063778340271</v>
      </c>
      <c r="AK77" s="336">
        <f t="shared" si="33"/>
        <v>1.6230356333623158E-2</v>
      </c>
      <c r="AL77" s="42">
        <f>IF(H77&gt;0, AL76+AI76*J76/1000000,"")</f>
        <v>1.2227530051843456</v>
      </c>
      <c r="BA77" s="8"/>
    </row>
    <row r="78" spans="1:53" x14ac:dyDescent="0.25">
      <c r="A78" s="115"/>
      <c r="B78" s="327">
        <f t="shared" si="6"/>
        <v>1499.9177343083973</v>
      </c>
      <c r="C78" s="327">
        <f t="shared" si="7"/>
        <v>1496.3565964193083</v>
      </c>
      <c r="D78" s="327">
        <f t="shared" si="8"/>
        <v>4.5406627664868173</v>
      </c>
      <c r="E78" s="327">
        <f t="shared" si="0"/>
        <v>8.9578610404071952</v>
      </c>
      <c r="F78" s="327">
        <f t="shared" si="9"/>
        <v>8.7773523548110042</v>
      </c>
      <c r="G78" s="327">
        <f t="shared" si="10"/>
        <v>89.740695467812699</v>
      </c>
      <c r="H78" s="312">
        <f t="shared" si="11"/>
        <v>0.08</v>
      </c>
      <c r="I78" s="327">
        <f t="shared" si="12"/>
        <v>2.1366827334533807</v>
      </c>
      <c r="J78" s="327">
        <f t="shared" si="1"/>
        <v>1848</v>
      </c>
      <c r="K78" s="334">
        <f t="shared" si="13"/>
        <v>1</v>
      </c>
      <c r="L78" s="322">
        <f t="shared" si="14"/>
        <v>4.6206627664868174</v>
      </c>
      <c r="M78" s="322">
        <f t="shared" si="15"/>
        <v>4.5806627664868174</v>
      </c>
      <c r="N78" s="327">
        <f t="shared" si="16"/>
        <v>0.12665506029518792</v>
      </c>
      <c r="O78" s="327">
        <f t="shared" si="2"/>
        <v>0.77537646153963558</v>
      </c>
      <c r="P78" s="331">
        <f t="shared" si="4"/>
        <v>99.806608676363197</v>
      </c>
      <c r="Q78" s="327">
        <f t="shared" si="17"/>
        <v>-1758.766515588442</v>
      </c>
      <c r="R78" s="276">
        <f>IF(H78&gt;0, rate1(1,$L$52,$L$51,$L$54,L78,$L$53,$L$50,P78),"")</f>
        <v>2039.9289879972746</v>
      </c>
      <c r="S78" s="322">
        <f t="shared" si="18"/>
        <v>-1.1119378825244759</v>
      </c>
      <c r="T78" s="322">
        <f t="shared" si="19"/>
        <v>5.9971015882243912E-2</v>
      </c>
      <c r="U78" s="327">
        <f t="shared" si="3"/>
        <v>4.5406627664868173</v>
      </c>
      <c r="V78" s="335">
        <f t="shared" si="20"/>
        <v>4.5406627664868173</v>
      </c>
      <c r="W78" s="327">
        <f t="shared" si="21"/>
        <v>6.0726212042983008E-4</v>
      </c>
      <c r="X78" s="327">
        <f t="shared" si="22"/>
        <v>-1762.8352552840813</v>
      </c>
      <c r="Y78" s="327">
        <f t="shared" si="5"/>
        <v>98.071124706758226</v>
      </c>
      <c r="Z78" s="107">
        <f>IF(H78&gt;0, rate1(1,$L$52,$L$51,$L$54,U78,$L$53,$L$50,Y78),"")</f>
        <v>2031.8451334748245</v>
      </c>
      <c r="AA78" s="335">
        <f t="shared" si="23"/>
        <v>-1.1189444115020772</v>
      </c>
      <c r="AB78" s="335">
        <f t="shared" si="24"/>
        <v>2.8658709361769155E-4</v>
      </c>
      <c r="AC78" s="327">
        <f t="shared" si="25"/>
        <v>5.9971015882243912E-2</v>
      </c>
      <c r="AD78" s="327">
        <f t="shared" si="26"/>
        <v>1.3339777361297998</v>
      </c>
      <c r="AE78" s="327">
        <f t="shared" si="27"/>
        <v>-0.5582490909178216</v>
      </c>
      <c r="AF78" s="327">
        <f t="shared" si="28"/>
        <v>1499.9844183528103</v>
      </c>
      <c r="AG78" s="327">
        <f t="shared" si="29"/>
        <v>1496.2966254034261</v>
      </c>
      <c r="AH78" s="327">
        <f t="shared" si="30"/>
        <v>4.6207036728316915</v>
      </c>
      <c r="AI78" s="327">
        <f t="shared" si="31"/>
        <v>29.398580163871877</v>
      </c>
      <c r="AJ78" s="327">
        <f t="shared" si="32"/>
        <v>0.19997265010176929</v>
      </c>
      <c r="AK78" s="336">
        <f t="shared" si="33"/>
        <v>1.858668423540177E-2</v>
      </c>
      <c r="AL78" s="42">
        <f t="shared" si="34"/>
        <v>1.2760494704542154</v>
      </c>
      <c r="BA78" s="8"/>
    </row>
    <row r="79" spans="1:53" x14ac:dyDescent="0.25">
      <c r="A79" s="115"/>
      <c r="B79" s="327">
        <f t="shared" si="6"/>
        <v>1499.9844183528103</v>
      </c>
      <c r="C79" s="327">
        <f t="shared" si="7"/>
        <v>1496.2966254034261</v>
      </c>
      <c r="D79" s="327">
        <f t="shared" si="8"/>
        <v>4.6207036728316915</v>
      </c>
      <c r="E79" s="327">
        <f t="shared" si="0"/>
        <v>9.3289363303051687</v>
      </c>
      <c r="F79" s="327">
        <f t="shared" si="9"/>
        <v>9.1433986853561819</v>
      </c>
      <c r="G79" s="327">
        <f t="shared" si="10"/>
        <v>98.426646461463548</v>
      </c>
      <c r="H79" s="312">
        <f t="shared" si="11"/>
        <v>0.08</v>
      </c>
      <c r="I79" s="327">
        <f t="shared" si="12"/>
        <v>2.2126757696305046</v>
      </c>
      <c r="J79" s="327">
        <f t="shared" si="1"/>
        <v>1848</v>
      </c>
      <c r="K79" s="334">
        <f t="shared" si="13"/>
        <v>1</v>
      </c>
      <c r="L79" s="322">
        <f t="shared" si="14"/>
        <v>4.7007036728316915</v>
      </c>
      <c r="M79" s="322">
        <f t="shared" si="15"/>
        <v>4.6607036728316915</v>
      </c>
      <c r="N79" s="327">
        <f t="shared" si="16"/>
        <v>0.12888883220744152</v>
      </c>
      <c r="O79" s="327">
        <f t="shared" si="2"/>
        <v>0.77760254348728708</v>
      </c>
      <c r="P79" s="331">
        <f t="shared" si="4"/>
        <v>102.12955864152751</v>
      </c>
      <c r="Q79" s="327">
        <f t="shared" si="17"/>
        <v>-1750.1129648130088</v>
      </c>
      <c r="R79" s="276">
        <f>IF(H79&gt;0, rate1(1,$L$52,$L$51,$L$54,L79,$L$53,$L$50,P79),"")</f>
        <v>2050.4142296283553</v>
      </c>
      <c r="S79" s="322">
        <f t="shared" si="18"/>
        <v>-1.0976573819516198</v>
      </c>
      <c r="T79" s="322">
        <f t="shared" si="19"/>
        <v>6.1444177355372429E-2</v>
      </c>
      <c r="U79" s="327">
        <f t="shared" si="3"/>
        <v>4.6207036728316915</v>
      </c>
      <c r="V79" s="335">
        <f t="shared" si="20"/>
        <v>4.6207036728316915</v>
      </c>
      <c r="W79" s="327">
        <f t="shared" si="21"/>
        <v>6.2885994192907191E-4</v>
      </c>
      <c r="X79" s="327">
        <f t="shared" si="22"/>
        <v>-1754.5088326698469</v>
      </c>
      <c r="Y79" s="327">
        <f t="shared" si="5"/>
        <v>100.38404881859711</v>
      </c>
      <c r="Z79" s="107">
        <f>IF(H79&gt;0, rate1(1,$L$52,$L$51,$L$54,U79,$L$53,$L$50,Y79),"")</f>
        <v>2042.5705923652135</v>
      </c>
      <c r="AA79" s="335">
        <f t="shared" si="23"/>
        <v>-1.1046401174073397</v>
      </c>
      <c r="AB79" s="335">
        <f t="shared" si="24"/>
        <v>2.9879689963515033E-4</v>
      </c>
      <c r="AC79" s="327">
        <f t="shared" si="25"/>
        <v>6.1444177355372429E-2</v>
      </c>
      <c r="AD79" s="327">
        <f t="shared" si="26"/>
        <v>1.3019948096514815</v>
      </c>
      <c r="AE79" s="327">
        <f t="shared" si="27"/>
        <v>-0.52683565582646419</v>
      </c>
      <c r="AF79" s="327">
        <f t="shared" si="28"/>
        <v>1500.0518630076624</v>
      </c>
      <c r="AG79" s="327">
        <f t="shared" si="29"/>
        <v>1496.2351812260708</v>
      </c>
      <c r="AH79" s="327">
        <f t="shared" si="30"/>
        <v>4.70075729912634</v>
      </c>
      <c r="AI79" s="327">
        <f t="shared" si="31"/>
        <v>29.966714270466902</v>
      </c>
      <c r="AJ79" s="327">
        <f t="shared" si="32"/>
        <v>0.20829673739912122</v>
      </c>
      <c r="AK79" s="336">
        <f t="shared" si="33"/>
        <v>2.1224933265073874E-2</v>
      </c>
      <c r="AL79" s="42">
        <f t="shared" si="34"/>
        <v>1.3303780465970505</v>
      </c>
      <c r="BA79" s="8"/>
    </row>
    <row r="80" spans="1:53" x14ac:dyDescent="0.25">
      <c r="A80" s="115"/>
      <c r="B80" s="327">
        <f t="shared" si="6"/>
        <v>1500.0518630076624</v>
      </c>
      <c r="C80" s="327">
        <f t="shared" si="7"/>
        <v>1496.2351812260708</v>
      </c>
      <c r="D80" s="327">
        <f t="shared" si="8"/>
        <v>4.70075729912634</v>
      </c>
      <c r="E80" s="327">
        <f t="shared" si="0"/>
        <v>9.71016474205123</v>
      </c>
      <c r="F80" s="327">
        <f t="shared" si="9"/>
        <v>9.5195505361781994</v>
      </c>
      <c r="G80" s="327">
        <f t="shared" si="10"/>
        <v>107.80182319074322</v>
      </c>
      <c r="H80" s="312">
        <f t="shared" si="11"/>
        <v>0.08</v>
      </c>
      <c r="I80" s="327">
        <f t="shared" si="12"/>
        <v>2.2900090689549413</v>
      </c>
      <c r="J80" s="327">
        <f t="shared" si="1"/>
        <v>1848</v>
      </c>
      <c r="K80" s="334">
        <f t="shared" si="13"/>
        <v>1</v>
      </c>
      <c r="L80" s="322">
        <f t="shared" si="14"/>
        <v>4.7807572991263401</v>
      </c>
      <c r="M80" s="322">
        <f t="shared" si="15"/>
        <v>4.74075729912634</v>
      </c>
      <c r="N80" s="327">
        <f t="shared" si="16"/>
        <v>0.13112333658760988</v>
      </c>
      <c r="O80" s="327">
        <f t="shared" si="2"/>
        <v>0.77985504458414046</v>
      </c>
      <c r="P80" s="331">
        <f t="shared" si="4"/>
        <v>104.46618847751442</v>
      </c>
      <c r="Q80" s="327">
        <f t="shared" si="17"/>
        <v>-1740.7719676148261</v>
      </c>
      <c r="R80" s="276">
        <f>IF(H80&gt;0, rate1(1,$L$52,$L$51,$L$54,L80,$L$53,$L$50,P80),"")</f>
        <v>2060.5928565285194</v>
      </c>
      <c r="S80" s="322">
        <f t="shared" si="18"/>
        <v>-1.0832677370285935</v>
      </c>
      <c r="T80" s="322">
        <f t="shared" si="19"/>
        <v>6.2941183342393486E-2</v>
      </c>
      <c r="U80" s="327">
        <f t="shared" si="3"/>
        <v>4.70075729912634</v>
      </c>
      <c r="V80" s="335">
        <f t="shared" si="20"/>
        <v>4.70075729912634</v>
      </c>
      <c r="W80" s="327">
        <f t="shared" si="21"/>
        <v>6.5083867681448027E-4</v>
      </c>
      <c r="X80" s="327">
        <f t="shared" si="22"/>
        <v>-1745.5154254713871</v>
      </c>
      <c r="Y80" s="327">
        <f t="shared" si="5"/>
        <v>102.71076474716031</v>
      </c>
      <c r="Z80" s="107">
        <f>IF(H80&gt;0, rate1(1,$L$52,$L$51,$L$54,U80,$L$53,$L$50,Y80),"")</f>
        <v>2052.9797869106947</v>
      </c>
      <c r="AA80" s="335">
        <f t="shared" si="23"/>
        <v>-1.0902475813434065</v>
      </c>
      <c r="AB80" s="335">
        <f t="shared" si="24"/>
        <v>3.1136918067676216E-4</v>
      </c>
      <c r="AC80" s="327">
        <f t="shared" si="25"/>
        <v>6.2941183342393486E-2</v>
      </c>
      <c r="AD80" s="327">
        <f t="shared" si="26"/>
        <v>1.2710278986146213</v>
      </c>
      <c r="AE80" s="327">
        <f t="shared" si="27"/>
        <v>-0.49791890079579793</v>
      </c>
      <c r="AF80" s="327">
        <f t="shared" si="28"/>
        <v>1500.1200451609077</v>
      </c>
      <c r="AG80" s="327">
        <f t="shared" si="29"/>
        <v>1496.1722400427284</v>
      </c>
      <c r="AH80" s="327">
        <f t="shared" si="30"/>
        <v>4.7808234499065483</v>
      </c>
      <c r="AI80" s="327">
        <f t="shared" si="31"/>
        <v>30.545181763092437</v>
      </c>
      <c r="AJ80" s="327">
        <f t="shared" si="32"/>
        <v>0.21678151011109134</v>
      </c>
      <c r="AK80" s="336">
        <f t="shared" si="33"/>
        <v>2.4174456456184816E-2</v>
      </c>
      <c r="AL80" s="42">
        <f t="shared" si="34"/>
        <v>1.3857565345688734</v>
      </c>
      <c r="BA80" s="8"/>
    </row>
    <row r="81" spans="1:53" x14ac:dyDescent="0.25">
      <c r="A81" s="115"/>
      <c r="B81" s="327">
        <f t="shared" si="6"/>
        <v>1500.1200451609077</v>
      </c>
      <c r="C81" s="327">
        <f t="shared" si="7"/>
        <v>1496.1722400427284</v>
      </c>
      <c r="D81" s="327">
        <f t="shared" si="8"/>
        <v>4.7808234499065483</v>
      </c>
      <c r="E81" s="327">
        <f t="shared" si="0"/>
        <v>10.10164252297457</v>
      </c>
      <c r="F81" s="327">
        <f t="shared" si="9"/>
        <v>9.9059036325128993</v>
      </c>
      <c r="G81" s="327">
        <f t="shared" si="10"/>
        <v>117.90880091807054</v>
      </c>
      <c r="H81" s="312">
        <f t="shared" si="11"/>
        <v>0.08</v>
      </c>
      <c r="I81" s="327">
        <f t="shared" si="12"/>
        <v>2.3686830709075819</v>
      </c>
      <c r="J81" s="327">
        <f t="shared" si="1"/>
        <v>1848</v>
      </c>
      <c r="K81" s="334">
        <f t="shared" si="13"/>
        <v>1</v>
      </c>
      <c r="L81" s="322">
        <f t="shared" si="14"/>
        <v>4.8608234499065484</v>
      </c>
      <c r="M81" s="322">
        <f t="shared" si="15"/>
        <v>4.8208234499065483</v>
      </c>
      <c r="N81" s="327">
        <f t="shared" si="16"/>
        <v>0.13335856815834291</v>
      </c>
      <c r="O81" s="327">
        <f t="shared" si="2"/>
        <v>0.78213323812156832</v>
      </c>
      <c r="P81" s="331">
        <f t="shared" si="4"/>
        <v>106.81634918522261</v>
      </c>
      <c r="Q81" s="327">
        <f t="shared" si="17"/>
        <v>-1730.7010167260325</v>
      </c>
      <c r="R81" s="276">
        <f>IF(H81&gt;0, rate1(1,$L$52,$L$51,$L$54,L81,$L$53,$L$50,P81),"")</f>
        <v>2070.4770074563207</v>
      </c>
      <c r="S81" s="322">
        <f t="shared" si="18"/>
        <v>-1.0687371213732522</v>
      </c>
      <c r="T81" s="322">
        <f t="shared" si="19"/>
        <v>6.4463757516865117E-2</v>
      </c>
      <c r="U81" s="327">
        <f t="shared" si="3"/>
        <v>4.7808234499065483</v>
      </c>
      <c r="V81" s="335">
        <f t="shared" si="20"/>
        <v>4.7808234499065483</v>
      </c>
      <c r="W81" s="327">
        <f t="shared" si="21"/>
        <v>6.7319844997992817E-4</v>
      </c>
      <c r="X81" s="327">
        <f t="shared" si="22"/>
        <v>-1735.8134511301193</v>
      </c>
      <c r="Y81" s="327">
        <f t="shared" si="5"/>
        <v>105.05112040832594</v>
      </c>
      <c r="Z81" s="107">
        <f>IF(H81&gt;0, rate1(1,$L$52,$L$51,$L$54,U81,$L$53,$L$50,Y81),"")</f>
        <v>2063.0853323728315</v>
      </c>
      <c r="AA81" s="335">
        <f t="shared" si="23"/>
        <v>-1.0757345458257848</v>
      </c>
      <c r="AB81" s="335">
        <f t="shared" si="24"/>
        <v>3.2431817995884978E-4</v>
      </c>
      <c r="AC81" s="327">
        <f t="shared" si="25"/>
        <v>6.4463757516865117E-2</v>
      </c>
      <c r="AD81" s="327">
        <f t="shared" si="26"/>
        <v>1.2410073982899656</v>
      </c>
      <c r="AE81" s="327">
        <f t="shared" si="27"/>
        <v>-0.47126116337699364</v>
      </c>
      <c r="AF81" s="327">
        <f t="shared" si="28"/>
        <v>1500.1889399715492</v>
      </c>
      <c r="AG81" s="327">
        <f t="shared" si="29"/>
        <v>1496.1077762852115</v>
      </c>
      <c r="AH81" s="327">
        <f t="shared" si="30"/>
        <v>4.8609019393455197</v>
      </c>
      <c r="AI81" s="327">
        <f t="shared" si="31"/>
        <v>31.134737205346656</v>
      </c>
      <c r="AJ81" s="327">
        <f t="shared" si="32"/>
        <v>0.22543004822368765</v>
      </c>
      <c r="AK81" s="336">
        <f t="shared" si="33"/>
        <v>2.7467282739938821E-2</v>
      </c>
      <c r="AL81" s="42">
        <f t="shared" si="34"/>
        <v>1.4422040304670682</v>
      </c>
      <c r="BA81" s="8"/>
    </row>
    <row r="82" spans="1:53" x14ac:dyDescent="0.25">
      <c r="A82" s="115"/>
      <c r="B82" s="327">
        <f t="shared" si="6"/>
        <v>1500.1889399715492</v>
      </c>
      <c r="C82" s="327">
        <f t="shared" si="7"/>
        <v>1496.1077762852115</v>
      </c>
      <c r="D82" s="327">
        <f t="shared" si="8"/>
        <v>4.8609019393455197</v>
      </c>
      <c r="E82" s="327">
        <f t="shared" si="0"/>
        <v>10.50346742476075</v>
      </c>
      <c r="F82" s="327">
        <f t="shared" si="9"/>
        <v>10.302554973867661</v>
      </c>
      <c r="G82" s="327">
        <f t="shared" si="10"/>
        <v>128.79206085598463</v>
      </c>
      <c r="H82" s="312">
        <f t="shared" si="11"/>
        <v>0.08</v>
      </c>
      <c r="I82" s="327">
        <f t="shared" si="12"/>
        <v>2.4486982118026388</v>
      </c>
      <c r="J82" s="327">
        <f t="shared" si="1"/>
        <v>1848</v>
      </c>
      <c r="K82" s="334">
        <f t="shared" si="13"/>
        <v>1</v>
      </c>
      <c r="L82" s="322">
        <f t="shared" si="14"/>
        <v>4.9409019393455198</v>
      </c>
      <c r="M82" s="322">
        <f t="shared" si="15"/>
        <v>4.9009019393455198</v>
      </c>
      <c r="N82" s="327">
        <f t="shared" si="16"/>
        <v>0.13559452190775723</v>
      </c>
      <c r="O82" s="327">
        <f t="shared" si="2"/>
        <v>0.78443634340443935</v>
      </c>
      <c r="P82" s="331">
        <f t="shared" si="4"/>
        <v>109.17989592029714</v>
      </c>
      <c r="Q82" s="327">
        <f t="shared" si="17"/>
        <v>-1719.8556970145851</v>
      </c>
      <c r="R82" s="276">
        <f>IF(H82&gt;0, rate1(1,$L$52,$L$51,$L$54,L82,$L$53,$L$50,P82),"")</f>
        <v>2080.0782303897304</v>
      </c>
      <c r="S82" s="322">
        <f t="shared" si="18"/>
        <v>-1.0540340334938463</v>
      </c>
      <c r="T82" s="322">
        <f t="shared" si="19"/>
        <v>6.6013765934109306E-2</v>
      </c>
      <c r="U82" s="327">
        <f t="shared" si="3"/>
        <v>4.8609019393455197</v>
      </c>
      <c r="V82" s="335">
        <f t="shared" si="20"/>
        <v>4.8609019393455197</v>
      </c>
      <c r="W82" s="327">
        <f t="shared" si="21"/>
        <v>6.9593938543732747E-4</v>
      </c>
      <c r="X82" s="327">
        <f t="shared" si="22"/>
        <v>-1725.3594492829434</v>
      </c>
      <c r="Y82" s="327">
        <f t="shared" si="5"/>
        <v>107.40496800621335</v>
      </c>
      <c r="Z82" s="107">
        <f>IF(H82&gt;0, rate1(1,$L$52,$L$51,$L$54,U82,$L$53,$L$50,Y82),"")</f>
        <v>2072.8992260334326</v>
      </c>
      <c r="AA82" s="335">
        <f t="shared" si="23"/>
        <v>-1.0610691570452391</v>
      </c>
      <c r="AB82" s="335">
        <f t="shared" si="24"/>
        <v>3.3765940509974463E-4</v>
      </c>
      <c r="AC82" s="327">
        <f t="shared" si="25"/>
        <v>6.6013765934109306E-2</v>
      </c>
      <c r="AD82" s="327">
        <f t="shared" si="26"/>
        <v>1.2118684469516685</v>
      </c>
      <c r="AE82" s="327">
        <f t="shared" si="27"/>
        <v>-0.44665089538192837</v>
      </c>
      <c r="AF82" s="327">
        <f t="shared" si="28"/>
        <v>1500.2585207275229</v>
      </c>
      <c r="AG82" s="327">
        <f t="shared" si="29"/>
        <v>1496.0417625192774</v>
      </c>
      <c r="AH82" s="327">
        <f t="shared" si="30"/>
        <v>4.9409925906335648</v>
      </c>
      <c r="AI82" s="327">
        <f t="shared" si="31"/>
        <v>31.736193845815475</v>
      </c>
      <c r="AJ82" s="327">
        <f t="shared" si="32"/>
        <v>0.23424565762530306</v>
      </c>
      <c r="AK82" s="336">
        <f t="shared" si="33"/>
        <v>3.1138342270720484E-2</v>
      </c>
      <c r="AL82" s="42">
        <f t="shared" si="34"/>
        <v>1.4997410248225489</v>
      </c>
      <c r="BA82" s="8"/>
    </row>
    <row r="83" spans="1:53" x14ac:dyDescent="0.25">
      <c r="A83" s="115"/>
      <c r="B83" s="327">
        <f t="shared" si="6"/>
        <v>1500.2585207275229</v>
      </c>
      <c r="C83" s="327">
        <f t="shared" si="7"/>
        <v>1496.0417625192774</v>
      </c>
      <c r="D83" s="327">
        <f t="shared" si="8"/>
        <v>4.9409925906335648</v>
      </c>
      <c r="E83" s="327">
        <f t="shared" si="0"/>
        <v>10.915739191006198</v>
      </c>
      <c r="F83" s="327">
        <f t="shared" si="9"/>
        <v>10.709603307883473</v>
      </c>
      <c r="G83" s="327">
        <f t="shared" si="10"/>
        <v>140.49805266096973</v>
      </c>
      <c r="H83" s="312">
        <f t="shared" si="11"/>
        <v>0.08</v>
      </c>
      <c r="I83" s="327">
        <f t="shared" si="12"/>
        <v>2.5300549249472621</v>
      </c>
      <c r="J83" s="327">
        <f t="shared" si="1"/>
        <v>1848</v>
      </c>
      <c r="K83" s="334">
        <f t="shared" si="13"/>
        <v>1</v>
      </c>
      <c r="L83" s="322">
        <f t="shared" si="14"/>
        <v>5.0209925906335648</v>
      </c>
      <c r="M83" s="322">
        <f t="shared" si="15"/>
        <v>4.9809925906335648</v>
      </c>
      <c r="N83" s="327">
        <f t="shared" si="16"/>
        <v>0.13783119307232639</v>
      </c>
      <c r="O83" s="327">
        <f t="shared" si="2"/>
        <v>0.78676352133588412</v>
      </c>
      <c r="P83" s="331">
        <f t="shared" si="4"/>
        <v>111.55668781203103</v>
      </c>
      <c r="Q83" s="327">
        <f t="shared" si="17"/>
        <v>-1708.189622231318</v>
      </c>
      <c r="R83" s="276">
        <f>IF(H83&gt;0, rate1(1,$L$52,$L$51,$L$54,L83,$L$53,$L$50,P83),"")</f>
        <v>2089.407515732396</v>
      </c>
      <c r="S83" s="322">
        <f t="shared" si="18"/>
        <v>-1.0391271954158854</v>
      </c>
      <c r="T83" s="322">
        <f t="shared" si="19"/>
        <v>6.7593229780948186E-2</v>
      </c>
      <c r="U83" s="327">
        <f t="shared" si="3"/>
        <v>4.9409925906335648</v>
      </c>
      <c r="V83" s="335">
        <f t="shared" si="20"/>
        <v>4.9409925906335648</v>
      </c>
      <c r="W83" s="327">
        <f t="shared" si="21"/>
        <v>7.1906160632195792E-4</v>
      </c>
      <c r="X83" s="327">
        <f t="shared" si="22"/>
        <v>-1714.1080200132185</v>
      </c>
      <c r="Y83" s="327">
        <f t="shared" si="5"/>
        <v>109.77216384427953</v>
      </c>
      <c r="Z83" s="107">
        <f>IF(H83&gt;0, rate1(1,$L$52,$L$51,$L$54,U83,$L$53,$L$50,Y83),"")</f>
        <v>2082.4328821059357</v>
      </c>
      <c r="AA83" s="335">
        <f t="shared" si="23"/>
        <v>-1.0462198572966934</v>
      </c>
      <c r="AB83" s="335">
        <f t="shared" si="24"/>
        <v>3.5140974893671799E-4</v>
      </c>
      <c r="AC83" s="327">
        <f t="shared" si="25"/>
        <v>6.7593229780948186E-2</v>
      </c>
      <c r="AD83" s="327">
        <f t="shared" si="26"/>
        <v>1.1835504866280082</v>
      </c>
      <c r="AE83" s="327">
        <f t="shared" si="27"/>
        <v>-0.42389936503106124</v>
      </c>
      <c r="AF83" s="327">
        <f t="shared" si="28"/>
        <v>1500.3287586908143</v>
      </c>
      <c r="AG83" s="327">
        <f t="shared" si="29"/>
        <v>1495.9741692894966</v>
      </c>
      <c r="AH83" s="327">
        <f t="shared" si="30"/>
        <v>5.0210952354066523</v>
      </c>
      <c r="AI83" s="327">
        <f t="shared" si="31"/>
        <v>32.350429139360521</v>
      </c>
      <c r="AJ83" s="327">
        <f t="shared" si="32"/>
        <v>0.2432318879417921</v>
      </c>
      <c r="AK83" s="336">
        <f t="shared" si="33"/>
        <v>3.5225712079848079E-2</v>
      </c>
      <c r="AL83" s="42">
        <f t="shared" si="34"/>
        <v>1.558389511049616</v>
      </c>
      <c r="BA83" s="8"/>
    </row>
    <row r="84" spans="1:53" x14ac:dyDescent="0.25">
      <c r="A84" s="115"/>
      <c r="B84" s="327">
        <f t="shared" si="6"/>
        <v>1500.3287586908143</v>
      </c>
      <c r="C84" s="327">
        <f t="shared" si="7"/>
        <v>1495.9741692894966</v>
      </c>
      <c r="D84" s="327">
        <f t="shared" si="8"/>
        <v>5.0210952354066523</v>
      </c>
      <c r="E84" s="327">
        <f t="shared" si="0"/>
        <v>11.338560074657918</v>
      </c>
      <c r="F84" s="327">
        <f t="shared" si="9"/>
        <v>11.127149632832058</v>
      </c>
      <c r="G84" s="327">
        <f t="shared" si="10"/>
        <v>153.07526017366928</v>
      </c>
      <c r="H84" s="312">
        <f t="shared" si="11"/>
        <v>0.08</v>
      </c>
      <c r="I84" s="327">
        <f t="shared" si="12"/>
        <v>2.6127536407906518</v>
      </c>
      <c r="J84" s="327">
        <f t="shared" si="1"/>
        <v>1848</v>
      </c>
      <c r="K84" s="334">
        <f t="shared" si="13"/>
        <v>1</v>
      </c>
      <c r="L84" s="322">
        <f t="shared" si="14"/>
        <v>5.1010952354066523</v>
      </c>
      <c r="M84" s="322">
        <f t="shared" si="15"/>
        <v>5.0610952354066523</v>
      </c>
      <c r="N84" s="327">
        <f t="shared" si="16"/>
        <v>0.14006857712113607</v>
      </c>
      <c r="O84" s="327">
        <f t="shared" si="2"/>
        <v>0.78911386961679886</v>
      </c>
      <c r="P84" s="331">
        <f t="shared" si="4"/>
        <v>113.94658779292139</v>
      </c>
      <c r="Q84" s="327">
        <f t="shared" si="17"/>
        <v>-1695.6543684110584</v>
      </c>
      <c r="R84" s="276">
        <f>IF(H84&gt;0, rate1(1,$L$52,$L$51,$L$54,L84,$L$53,$L$50,P84),"")</f>
        <v>2098.4753274750137</v>
      </c>
      <c r="S84" s="322">
        <f t="shared" si="18"/>
        <v>-1.0239854576436811</v>
      </c>
      <c r="T84" s="322">
        <f t="shared" si="19"/>
        <v>6.9204339681473589E-2</v>
      </c>
      <c r="U84" s="327">
        <f t="shared" si="3"/>
        <v>5.0210952354066523</v>
      </c>
      <c r="V84" s="335">
        <f t="shared" si="20"/>
        <v>5.0210952354066523</v>
      </c>
      <c r="W84" s="327">
        <f t="shared" si="21"/>
        <v>7.4256523498483773E-4</v>
      </c>
      <c r="X84" s="327">
        <f t="shared" si="22"/>
        <v>-1702.0117589371509</v>
      </c>
      <c r="Y84" s="327">
        <f t="shared" si="5"/>
        <v>112.15256814764174</v>
      </c>
      <c r="Z84" s="107">
        <f>IF(H84&gt;0, rate1(1,$L$52,$L$51,$L$54,U84,$L$53,$L$50,Y84),"")</f>
        <v>2091.6971644912705</v>
      </c>
      <c r="AA84" s="335">
        <f t="shared" si="23"/>
        <v>-1.0311552846420438</v>
      </c>
      <c r="AB84" s="335">
        <f t="shared" si="24"/>
        <v>3.6558762424493906E-4</v>
      </c>
      <c r="AC84" s="327">
        <f t="shared" si="25"/>
        <v>6.9204339681473589E-2</v>
      </c>
      <c r="AD84" s="327">
        <f t="shared" si="26"/>
        <v>1.1559968691012086</v>
      </c>
      <c r="AE84" s="327">
        <f t="shared" si="27"/>
        <v>-0.402837822851357</v>
      </c>
      <c r="AF84" s="327">
        <f t="shared" si="28"/>
        <v>1500.3996229282541</v>
      </c>
      <c r="AG84" s="327">
        <f t="shared" si="29"/>
        <v>1495.9049649498152</v>
      </c>
      <c r="AH84" s="327">
        <f t="shared" si="30"/>
        <v>5.101209713219137</v>
      </c>
      <c r="AI84" s="327">
        <f t="shared" si="31"/>
        <v>32.978390918106989</v>
      </c>
      <c r="AJ84" s="327">
        <f t="shared" si="32"/>
        <v>0.25239255208571071</v>
      </c>
      <c r="AK84" s="336">
        <f t="shared" si="33"/>
        <v>3.977088437667492E-2</v>
      </c>
      <c r="AL84" s="42">
        <f t="shared" si="34"/>
        <v>1.6181731040991543</v>
      </c>
      <c r="BA84" s="8"/>
    </row>
    <row r="85" spans="1:53" x14ac:dyDescent="0.25">
      <c r="A85" s="115"/>
      <c r="B85" s="327">
        <f t="shared" si="6"/>
        <v>1500.3996229282541</v>
      </c>
      <c r="C85" s="327">
        <f t="shared" si="7"/>
        <v>1495.9049649498152</v>
      </c>
      <c r="D85" s="327">
        <f t="shared" si="8"/>
        <v>5.101209713219137</v>
      </c>
      <c r="E85" s="327">
        <f t="shared" si="0"/>
        <v>11.77203538838147</v>
      </c>
      <c r="F85" s="327">
        <f t="shared" si="9"/>
        <v>11.555297731519694</v>
      </c>
      <c r="G85" s="327">
        <f t="shared" si="10"/>
        <v>166.57427079613927</v>
      </c>
      <c r="H85" s="312">
        <f t="shared" si="11"/>
        <v>0.08</v>
      </c>
      <c r="I85" s="327">
        <f t="shared" si="12"/>
        <v>2.6967947870633453</v>
      </c>
      <c r="J85" s="327">
        <f t="shared" si="1"/>
        <v>1848</v>
      </c>
      <c r="K85" s="334">
        <f t="shared" si="13"/>
        <v>1</v>
      </c>
      <c r="L85" s="322">
        <f t="shared" si="14"/>
        <v>5.181209713219137</v>
      </c>
      <c r="M85" s="322">
        <f t="shared" si="15"/>
        <v>5.141209713219137</v>
      </c>
      <c r="N85" s="327">
        <f t="shared" si="16"/>
        <v>0.14230666974135353</v>
      </c>
      <c r="O85" s="327">
        <f t="shared" si="2"/>
        <v>0.7914864175140861</v>
      </c>
      <c r="P85" s="331">
        <f t="shared" si="4"/>
        <v>116.3494624380924</v>
      </c>
      <c r="Q85" s="327">
        <f t="shared" si="17"/>
        <v>-1682.1994035237983</v>
      </c>
      <c r="R85" s="276">
        <f>IF(H85&gt;0, rate1(1,$L$52,$L$51,$L$54,L85,$L$53,$L$50,P85),"")</f>
        <v>2107.2916324413113</v>
      </c>
      <c r="S85" s="322">
        <f t="shared" si="18"/>
        <v>-1.0085777092639616</v>
      </c>
      <c r="T85" s="322">
        <f t="shared" si="19"/>
        <v>7.0849471785436408E-2</v>
      </c>
      <c r="U85" s="327">
        <f t="shared" si="3"/>
        <v>5.101209713219137</v>
      </c>
      <c r="V85" s="335">
        <f t="shared" si="20"/>
        <v>5.101209713219137</v>
      </c>
      <c r="W85" s="327">
        <f t="shared" si="21"/>
        <v>7.6645039299094719E-4</v>
      </c>
      <c r="X85" s="327">
        <f t="shared" si="22"/>
        <v>-1689.0211887441078</v>
      </c>
      <c r="Y85" s="327">
        <f t="shared" si="5"/>
        <v>114.54604489578766</v>
      </c>
      <c r="Z85" s="107">
        <f>IF(H85&gt;0, rate1(1,$L$52,$L$51,$L$54,U85,$L$53,$L$50,Y85),"")</f>
        <v>2100.7024175143538</v>
      </c>
      <c r="AA85" s="335">
        <f t="shared" si="23"/>
        <v>-1.0158441785255818</v>
      </c>
      <c r="AB85" s="335">
        <f t="shared" si="24"/>
        <v>3.8021311426537956E-4</v>
      </c>
      <c r="AC85" s="327">
        <f t="shared" si="25"/>
        <v>7.0849471785436408E-2</v>
      </c>
      <c r="AD85" s="327">
        <f t="shared" si="26"/>
        <v>1.1291545015646052</v>
      </c>
      <c r="AE85" s="327">
        <f t="shared" si="27"/>
        <v>-0.38331505948262407</v>
      </c>
      <c r="AF85" s="327">
        <f t="shared" si="28"/>
        <v>1500.4710801262099</v>
      </c>
      <c r="AG85" s="327">
        <f t="shared" si="29"/>
        <v>1495.8341154780296</v>
      </c>
      <c r="AH85" s="327">
        <f t="shared" si="30"/>
        <v>5.181335871057315</v>
      </c>
      <c r="AI85" s="327">
        <f t="shared" si="31"/>
        <v>33.621104309780236</v>
      </c>
      <c r="AJ85" s="327">
        <f t="shared" si="32"/>
        <v>0.26173174772731633</v>
      </c>
      <c r="AK85" s="336">
        <f t="shared" si="33"/>
        <v>4.4819060146573123E-2</v>
      </c>
      <c r="AL85" s="42">
        <f t="shared" si="34"/>
        <v>1.6791171705158159</v>
      </c>
      <c r="BA85" s="8"/>
    </row>
    <row r="86" spans="1:53" x14ac:dyDescent="0.25">
      <c r="A86" s="115"/>
      <c r="B86" s="327">
        <f t="shared" si="6"/>
        <v>1500.4710801262099</v>
      </c>
      <c r="C86" s="327">
        <f t="shared" si="7"/>
        <v>1495.8341154780296</v>
      </c>
      <c r="D86" s="327">
        <f t="shared" si="8"/>
        <v>5.181335871057315</v>
      </c>
      <c r="E86" s="327">
        <f t="shared" si="0"/>
        <v>12.216274091525655</v>
      </c>
      <c r="F86" s="327">
        <f t="shared" si="9"/>
        <v>11.994154739953562</v>
      </c>
      <c r="G86" s="327">
        <f t="shared" si="10"/>
        <v>181.04784894612456</v>
      </c>
      <c r="H86" s="312">
        <f t="shared" si="11"/>
        <v>0.08</v>
      </c>
      <c r="I86" s="327">
        <f t="shared" si="12"/>
        <v>2.7821787889081859</v>
      </c>
      <c r="J86" s="327">
        <f t="shared" si="1"/>
        <v>1848</v>
      </c>
      <c r="K86" s="334">
        <f t="shared" si="13"/>
        <v>1</v>
      </c>
      <c r="L86" s="322">
        <f t="shared" si="14"/>
        <v>5.261335871057315</v>
      </c>
      <c r="M86" s="322">
        <f t="shared" si="15"/>
        <v>5.221335871057315</v>
      </c>
      <c r="N86" s="327">
        <f t="shared" si="16"/>
        <v>0.14454546682479119</v>
      </c>
      <c r="O86" s="327">
        <f t="shared" si="2"/>
        <v>0.79388012014513964</v>
      </c>
      <c r="P86" s="331">
        <f t="shared" si="4"/>
        <v>118.76518181388971</v>
      </c>
      <c r="Q86" s="327">
        <f t="shared" si="17"/>
        <v>-1667.7720129201205</v>
      </c>
      <c r="R86" s="276">
        <f>IF(H86&gt;0, rate1(1,$L$52,$L$51,$L$54,L86,$L$53,$L$50,P86),"")</f>
        <v>2115.8659277407946</v>
      </c>
      <c r="S86" s="322">
        <f t="shared" si="18"/>
        <v>-0.99287279207999568</v>
      </c>
      <c r="T86" s="322">
        <f t="shared" si="19"/>
        <v>7.2531205904982327E-2</v>
      </c>
      <c r="U86" s="327">
        <f t="shared" si="3"/>
        <v>5.181335871057315</v>
      </c>
      <c r="V86" s="335">
        <f t="shared" si="20"/>
        <v>5.181335871057315</v>
      </c>
      <c r="W86" s="327">
        <f t="shared" si="21"/>
        <v>7.9071720115742039E-4</v>
      </c>
      <c r="X86" s="327">
        <f t="shared" si="22"/>
        <v>-1675.0846867611465</v>
      </c>
      <c r="Y86" s="327">
        <f t="shared" si="5"/>
        <v>116.95246166493351</v>
      </c>
      <c r="Z86" s="107">
        <f>IF(H86&gt;0, rate1(1,$L$52,$L$51,$L$54,U86,$L$53,$L$50,Y86),"")</f>
        <v>2109.4584947697822</v>
      </c>
      <c r="AA86" s="335">
        <f t="shared" si="23"/>
        <v>-1.0002552901581909</v>
      </c>
      <c r="AB86" s="335">
        <f t="shared" si="24"/>
        <v>3.9530814143972905E-4</v>
      </c>
      <c r="AC86" s="327">
        <f t="shared" si="25"/>
        <v>7.2531205904982327E-2</v>
      </c>
      <c r="AD86" s="327">
        <f t="shared" si="26"/>
        <v>1.1029735270747048</v>
      </c>
      <c r="AE86" s="327">
        <f t="shared" si="27"/>
        <v>-0.36519529565105324</v>
      </c>
      <c r="AF86" s="327">
        <f t="shared" si="28"/>
        <v>1500.5430943871297</v>
      </c>
      <c r="AG86" s="327">
        <f t="shared" si="29"/>
        <v>1495.7615842721245</v>
      </c>
      <c r="AH86" s="327">
        <f t="shared" si="30"/>
        <v>5.2614735628896216</v>
      </c>
      <c r="AI86" s="327">
        <f t="shared" si="31"/>
        <v>34.279679517514211</v>
      </c>
      <c r="AJ86" s="327">
        <f t="shared" si="32"/>
        <v>0.27125388092662583</v>
      </c>
      <c r="AK86" s="336">
        <f t="shared" si="33"/>
        <v>5.0419471080335704E-2</v>
      </c>
      <c r="AL86" s="42">
        <f t="shared" si="34"/>
        <v>1.7412489712802897</v>
      </c>
      <c r="BA86" s="8"/>
    </row>
    <row r="87" spans="1:53" x14ac:dyDescent="0.25">
      <c r="A87" s="115"/>
      <c r="B87" s="327">
        <f t="shared" si="6"/>
        <v>1500.5430943871297</v>
      </c>
      <c r="C87" s="327">
        <f t="shared" si="7"/>
        <v>1495.7615842721245</v>
      </c>
      <c r="D87" s="327">
        <f t="shared" si="8"/>
        <v>5.2614735628896216</v>
      </c>
      <c r="E87" s="327">
        <f t="shared" si="0"/>
        <v>12.671389418042711</v>
      </c>
      <c r="F87" s="327">
        <f t="shared" si="9"/>
        <v>12.443831754784183</v>
      </c>
      <c r="G87" s="327">
        <f t="shared" si="10"/>
        <v>196.55101408525303</v>
      </c>
      <c r="H87" s="312">
        <f t="shared" si="11"/>
        <v>0.08</v>
      </c>
      <c r="I87" s="327">
        <f t="shared" si="12"/>
        <v>2.8689060690031054</v>
      </c>
      <c r="J87" s="327">
        <f t="shared" si="1"/>
        <v>1848</v>
      </c>
      <c r="K87" s="334">
        <f t="shared" si="13"/>
        <v>1</v>
      </c>
      <c r="L87" s="322">
        <f t="shared" si="14"/>
        <v>5.3414735628896217</v>
      </c>
      <c r="M87" s="322">
        <f t="shared" si="15"/>
        <v>5.3014735628896217</v>
      </c>
      <c r="N87" s="327">
        <f t="shared" si="16"/>
        <v>0.14678496445557698</v>
      </c>
      <c r="O87" s="327">
        <f t="shared" si="2"/>
        <v>0.79629385221838789</v>
      </c>
      <c r="P87" s="331">
        <f t="shared" si="4"/>
        <v>121.19361933497781</v>
      </c>
      <c r="Q87" s="327">
        <f t="shared" si="17"/>
        <v>-1652.3172200554352</v>
      </c>
      <c r="R87" s="276">
        <f>IF(H87&gt;0, rate1(1,$L$52,$L$51,$L$54,L87,$L$53,$L$50,P87),"")</f>
        <v>2124.2072665430442</v>
      </c>
      <c r="S87" s="322">
        <f t="shared" si="18"/>
        <v>-0.9768394177244103</v>
      </c>
      <c r="T87" s="322">
        <f t="shared" si="19"/>
        <v>7.4252346012274914E-2</v>
      </c>
      <c r="U87" s="327">
        <f t="shared" si="3"/>
        <v>5.2614735628896216</v>
      </c>
      <c r="V87" s="335">
        <f t="shared" si="20"/>
        <v>5.2614735628896216</v>
      </c>
      <c r="W87" s="327">
        <f t="shared" si="21"/>
        <v>8.153657796263758E-4</v>
      </c>
      <c r="X87" s="327">
        <f t="shared" si="22"/>
        <v>-1660.1484080564749</v>
      </c>
      <c r="Y87" s="327">
        <f t="shared" si="5"/>
        <v>119.37168947932062</v>
      </c>
      <c r="Z87" s="107">
        <f>IF(H87&gt;0, rate1(1,$L$52,$L$51,$L$54,U87,$L$53,$L$50,Y87),"")</f>
        <v>2117.9747861976548</v>
      </c>
      <c r="AA87" s="335">
        <f t="shared" si="23"/>
        <v>-0.98435729656067883</v>
      </c>
      <c r="AB87" s="335">
        <f t="shared" si="24"/>
        <v>4.1089665708871146E-4</v>
      </c>
      <c r="AC87" s="327">
        <f t="shared" si="25"/>
        <v>7.4252346012274914E-2</v>
      </c>
      <c r="AD87" s="327">
        <f t="shared" si="26"/>
        <v>1.0774070355537981</v>
      </c>
      <c r="AE87" s="327">
        <f t="shared" si="27"/>
        <v>-0.34835635446836177</v>
      </c>
      <c r="AF87" s="327">
        <f t="shared" si="28"/>
        <v>1500.6156270055731</v>
      </c>
      <c r="AG87" s="327">
        <f t="shared" si="29"/>
        <v>1495.6873319261122</v>
      </c>
      <c r="AH87" s="327">
        <f t="shared" si="30"/>
        <v>5.3416226492503718</v>
      </c>
      <c r="AI87" s="327">
        <f t="shared" si="31"/>
        <v>34.955320595016097</v>
      </c>
      <c r="AJ87" s="327">
        <f t="shared" si="32"/>
        <v>0.2809636922030192</v>
      </c>
      <c r="AK87" s="336">
        <f t="shared" si="33"/>
        <v>5.662573331954418E-2</v>
      </c>
      <c r="AL87" s="42">
        <f t="shared" si="34"/>
        <v>1.804597819028656</v>
      </c>
      <c r="BA87" s="8"/>
    </row>
    <row r="88" spans="1:53" x14ac:dyDescent="0.25">
      <c r="A88" s="115"/>
      <c r="B88" s="327">
        <f t="shared" si="6"/>
        <v>1500.6156270055731</v>
      </c>
      <c r="C88" s="327">
        <f t="shared" si="7"/>
        <v>1495.6873319261122</v>
      </c>
      <c r="D88" s="327">
        <f t="shared" si="8"/>
        <v>5.3416226492503718</v>
      </c>
      <c r="E88" s="327">
        <f t="shared" si="0"/>
        <v>13.137499550547997</v>
      </c>
      <c r="F88" s="327">
        <f t="shared" si="9"/>
        <v>12.904444484295354</v>
      </c>
      <c r="G88" s="327">
        <f t="shared" si="10"/>
        <v>213.14112388447495</v>
      </c>
      <c r="H88" s="312">
        <f t="shared" si="11"/>
        <v>0.08</v>
      </c>
      <c r="I88" s="327">
        <f t="shared" si="12"/>
        <v>2.9569770476765371</v>
      </c>
      <c r="J88" s="327">
        <f t="shared" si="1"/>
        <v>1848</v>
      </c>
      <c r="K88" s="334">
        <f t="shared" si="13"/>
        <v>1</v>
      </c>
      <c r="L88" s="322">
        <f t="shared" si="14"/>
        <v>5.4216226492503719</v>
      </c>
      <c r="M88" s="322">
        <f t="shared" si="15"/>
        <v>5.3816226492503718</v>
      </c>
      <c r="N88" s="327">
        <f t="shared" si="16"/>
        <v>0.14902515889858314</v>
      </c>
      <c r="O88" s="327">
        <f t="shared" si="2"/>
        <v>0.79872640116077365</v>
      </c>
      <c r="P88" s="331">
        <f t="shared" si="4"/>
        <v>123.63465162934618</v>
      </c>
      <c r="Q88" s="327">
        <f t="shared" si="17"/>
        <v>-1635.7777019074701</v>
      </c>
      <c r="R88" s="276">
        <f>IF(H88&gt;0, rate1(1,$L$52,$L$51,$L$54,L88,$L$53,$L$50,P88),"")</f>
        <v>2132.3242822814223</v>
      </c>
      <c r="S88" s="322">
        <f t="shared" si="18"/>
        <v>-0.96044608673762111</v>
      </c>
      <c r="T88" s="322">
        <f t="shared" si="19"/>
        <v>7.6015943466507641E-2</v>
      </c>
      <c r="U88" s="327">
        <f t="shared" si="3"/>
        <v>5.3416226492503718</v>
      </c>
      <c r="V88" s="335">
        <f t="shared" si="20"/>
        <v>5.3416226492503718</v>
      </c>
      <c r="W88" s="327">
        <f t="shared" si="21"/>
        <v>8.4039624784182365E-4</v>
      </c>
      <c r="X88" s="327">
        <f t="shared" si="22"/>
        <v>-1644.1562035316474</v>
      </c>
      <c r="Y88" s="327">
        <f t="shared" si="5"/>
        <v>121.80360267082068</v>
      </c>
      <c r="Z88" s="107">
        <f>IF(H88&gt;0, rate1(1,$L$52,$L$51,$L$54,U88,$L$53,$L$50,Y88),"")</f>
        <v>2126.2602435032613</v>
      </c>
      <c r="AA88" s="335">
        <f t="shared" si="23"/>
        <v>-0.96811871720863429</v>
      </c>
      <c r="AB88" s="335">
        <f t="shared" si="24"/>
        <v>4.270048551917388E-4</v>
      </c>
      <c r="AC88" s="327">
        <f t="shared" si="25"/>
        <v>7.6015943466507641E-2</v>
      </c>
      <c r="AD88" s="327">
        <f t="shared" si="26"/>
        <v>1.0524108016267366</v>
      </c>
      <c r="AE88" s="327">
        <f t="shared" si="27"/>
        <v>-0.3326880742938238</v>
      </c>
      <c r="AF88" s="327">
        <f t="shared" si="28"/>
        <v>1500.688636221005</v>
      </c>
      <c r="AG88" s="327">
        <f t="shared" si="29"/>
        <v>1495.6113159826457</v>
      </c>
      <c r="AH88" s="327">
        <f t="shared" si="30"/>
        <v>5.421782996853743</v>
      </c>
      <c r="AI88" s="327">
        <f t="shared" si="31"/>
        <v>35.649335374625309</v>
      </c>
      <c r="AJ88" s="327">
        <f t="shared" si="32"/>
        <v>0.29086628536263737</v>
      </c>
      <c r="AK88" s="336">
        <f t="shared" si="33"/>
        <v>6.3496237030169725E-2</v>
      </c>
      <c r="AL88" s="42">
        <f t="shared" si="34"/>
        <v>1.8691952514882457</v>
      </c>
      <c r="BA88" s="8"/>
    </row>
    <row r="89" spans="1:53" x14ac:dyDescent="0.25">
      <c r="A89" s="115"/>
      <c r="B89" s="327">
        <f t="shared" si="6"/>
        <v>1500.688636221005</v>
      </c>
      <c r="C89" s="327">
        <f t="shared" si="7"/>
        <v>1495.6113159826457</v>
      </c>
      <c r="D89" s="327">
        <f t="shared" si="8"/>
        <v>5.421782996853743</v>
      </c>
      <c r="E89" s="327">
        <f t="shared" si="0"/>
        <v>13.614728346627027</v>
      </c>
      <c r="F89" s="327">
        <f t="shared" si="9"/>
        <v>13.376113948587513</v>
      </c>
      <c r="G89" s="327">
        <f t="shared" si="10"/>
        <v>230.87796316765295</v>
      </c>
      <c r="H89" s="312">
        <f t="shared" si="11"/>
        <v>0.08</v>
      </c>
      <c r="I89" s="327">
        <f t="shared" si="12"/>
        <v>3.0463921430156007</v>
      </c>
      <c r="J89" s="327">
        <f t="shared" si="1"/>
        <v>1848</v>
      </c>
      <c r="K89" s="334">
        <f t="shared" si="13"/>
        <v>1</v>
      </c>
      <c r="L89" s="322">
        <f t="shared" si="14"/>
        <v>5.5017829968537431</v>
      </c>
      <c r="M89" s="322">
        <f t="shared" si="15"/>
        <v>5.461782996853743</v>
      </c>
      <c r="N89" s="327">
        <f t="shared" si="16"/>
        <v>0.15126604658888887</v>
      </c>
      <c r="O89" s="327">
        <f t="shared" si="2"/>
        <v>0.80117645955239358</v>
      </c>
      <c r="P89" s="331">
        <f t="shared" si="4"/>
        <v>126.08815841066567</v>
      </c>
      <c r="Q89" s="327">
        <f t="shared" si="17"/>
        <v>-1618.0936984199266</v>
      </c>
      <c r="R89" s="276">
        <f>IF(H89&gt;0, rate1(1,$L$52,$L$51,$L$54,L89,$L$53,$L$50,P89),"")</f>
        <v>2140.2252113873424</v>
      </c>
      <c r="S89" s="322">
        <f t="shared" si="18"/>
        <v>-0.94366100861817326</v>
      </c>
      <c r="T89" s="322">
        <f t="shared" si="19"/>
        <v>7.7825323406796112E-2</v>
      </c>
      <c r="U89" s="327">
        <f t="shared" si="3"/>
        <v>5.421782996853743</v>
      </c>
      <c r="V89" s="335">
        <f t="shared" si="20"/>
        <v>5.421782996853743</v>
      </c>
      <c r="W89" s="327">
        <f t="shared" si="21"/>
        <v>8.6580872464203651E-4</v>
      </c>
      <c r="X89" s="327">
        <f t="shared" si="22"/>
        <v>-1627.0495323766036</v>
      </c>
      <c r="Y89" s="327">
        <f t="shared" si="5"/>
        <v>124.24807874625753</v>
      </c>
      <c r="Z89" s="107">
        <f>IF(H89&gt;0, rate1(1,$L$52,$L$51,$L$54,U89,$L$53,$L$50,Y89),"")</f>
        <v>2134.3234040273474</v>
      </c>
      <c r="AA89" s="335">
        <f t="shared" si="23"/>
        <v>-0.95150783225267832</v>
      </c>
      <c r="AB89" s="335">
        <f t="shared" si="24"/>
        <v>4.4366141418075174E-4</v>
      </c>
      <c r="AC89" s="327">
        <f t="shared" si="25"/>
        <v>7.7825323406796112E-2</v>
      </c>
      <c r="AD89" s="327">
        <f t="shared" si="26"/>
        <v>1.0279430460164845</v>
      </c>
      <c r="AE89" s="327">
        <f t="shared" si="27"/>
        <v>-0.318090927194491</v>
      </c>
      <c r="AF89" s="327">
        <f t="shared" si="28"/>
        <v>1500.7620769441871</v>
      </c>
      <c r="AG89" s="327">
        <f t="shared" si="29"/>
        <v>1495.5334906592389</v>
      </c>
      <c r="AH89" s="327">
        <f t="shared" si="30"/>
        <v>5.501954478236601</v>
      </c>
      <c r="AI89" s="327">
        <f t="shared" si="31"/>
        <v>36.363146734613025</v>
      </c>
      <c r="AJ89" s="327">
        <f t="shared" si="32"/>
        <v>0.30096715945558544</v>
      </c>
      <c r="AK89" s="336">
        <f t="shared" si="33"/>
        <v>7.1094576437651935E-2</v>
      </c>
      <c r="AL89" s="42">
        <f t="shared" si="34"/>
        <v>1.9350752232605533</v>
      </c>
      <c r="BA89" s="8"/>
    </row>
    <row r="90" spans="1:53" x14ac:dyDescent="0.25">
      <c r="A90" s="115"/>
      <c r="B90" s="327">
        <f t="shared" si="6"/>
        <v>1500.7620769441871</v>
      </c>
      <c r="C90" s="327">
        <f t="shared" si="7"/>
        <v>1495.5334906592389</v>
      </c>
      <c r="D90" s="327">
        <f t="shared" si="8"/>
        <v>5.501954478236601</v>
      </c>
      <c r="E90" s="327">
        <f t="shared" si="0"/>
        <v>14.103206124611074</v>
      </c>
      <c r="F90" s="327">
        <f t="shared" si="9"/>
        <v>13.858967235619051</v>
      </c>
      <c r="G90" s="327">
        <f t="shared" si="10"/>
        <v>249.82383936545256</v>
      </c>
      <c r="H90" s="312">
        <f t="shared" si="11"/>
        <v>0.08</v>
      </c>
      <c r="I90" s="327">
        <f t="shared" si="12"/>
        <v>3.1371517709689667</v>
      </c>
      <c r="J90" s="327">
        <f t="shared" si="1"/>
        <v>1848</v>
      </c>
      <c r="K90" s="334">
        <f t="shared" si="13"/>
        <v>1</v>
      </c>
      <c r="L90" s="322">
        <f t="shared" si="14"/>
        <v>5.5819544782366011</v>
      </c>
      <c r="M90" s="322">
        <f t="shared" si="15"/>
        <v>5.541954478236601</v>
      </c>
      <c r="N90" s="327">
        <f t="shared" si="16"/>
        <v>0.15350762412188779</v>
      </c>
      <c r="O90" s="327">
        <f t="shared" si="2"/>
        <v>0.80364261677618654</v>
      </c>
      <c r="P90" s="331">
        <f t="shared" si="4"/>
        <v>128.55402235753127</v>
      </c>
      <c r="Q90" s="327">
        <f t="shared" si="17"/>
        <v>-1599.2029152085947</v>
      </c>
      <c r="R90" s="276">
        <f>IF(H90&gt;0, rate1(1,$L$52,$L$51,$L$54,L90,$L$53,$L$50,P90),"")</f>
        <v>2147.9179146499869</v>
      </c>
      <c r="S90" s="322">
        <f t="shared" si="18"/>
        <v>-0.92645202185006215</v>
      </c>
      <c r="T90" s="322">
        <f t="shared" si="19"/>
        <v>7.9684114829118469E-2</v>
      </c>
      <c r="U90" s="327">
        <f t="shared" si="3"/>
        <v>5.501954478236601</v>
      </c>
      <c r="V90" s="335">
        <f t="shared" si="20"/>
        <v>5.501954478236601</v>
      </c>
      <c r="W90" s="327">
        <f t="shared" si="21"/>
        <v>8.9160332824356203E-4</v>
      </c>
      <c r="X90" s="327">
        <f t="shared" si="22"/>
        <v>-1608.7673681725466</v>
      </c>
      <c r="Y90" s="327">
        <f t="shared" si="5"/>
        <v>126.70499826195217</v>
      </c>
      <c r="Z90" s="107">
        <f>IF(H90&gt;0, rate1(1,$L$52,$L$51,$L$54,U90,$L$53,$L$50,Y90),"")</f>
        <v>2142.1724131671194</v>
      </c>
      <c r="AA90" s="335">
        <f t="shared" si="23"/>
        <v>-0.9344926012985223</v>
      </c>
      <c r="AB90" s="335">
        <f t="shared" si="24"/>
        <v>4.6089777114943526E-4</v>
      </c>
      <c r="AC90" s="327">
        <f t="shared" si="25"/>
        <v>7.9684114829118469E-2</v>
      </c>
      <c r="AD90" s="327">
        <f t="shared" si="26"/>
        <v>1.0039642176054655</v>
      </c>
      <c r="AE90" s="327">
        <f t="shared" si="27"/>
        <v>-0.304474813440753</v>
      </c>
      <c r="AF90" s="327">
        <f t="shared" si="28"/>
        <v>1500.83590045348</v>
      </c>
      <c r="AG90" s="327">
        <f t="shared" si="29"/>
        <v>1495.4538065444096</v>
      </c>
      <c r="AH90" s="327">
        <f t="shared" si="30"/>
        <v>5.5821369714253963</v>
      </c>
      <c r="AI90" s="327">
        <f t="shared" si="31"/>
        <v>37.098305426677982</v>
      </c>
      <c r="AJ90" s="327">
        <f t="shared" si="32"/>
        <v>0.31127224429632933</v>
      </c>
      <c r="AK90" s="336">
        <f t="shared" si="33"/>
        <v>7.9490025690105881E-2</v>
      </c>
      <c r="AL90" s="42">
        <f t="shared" si="34"/>
        <v>2.0022743184261182</v>
      </c>
      <c r="BA90" s="8"/>
    </row>
    <row r="91" spans="1:53" x14ac:dyDescent="0.25">
      <c r="A91" s="115"/>
      <c r="B91" s="327">
        <f t="shared" si="6"/>
        <v>1500.83590045348</v>
      </c>
      <c r="C91" s="327">
        <f t="shared" si="7"/>
        <v>1495.4538065444096</v>
      </c>
      <c r="D91" s="327">
        <f t="shared" si="8"/>
        <v>5.5821369714253963</v>
      </c>
      <c r="E91" s="327">
        <f t="shared" si="0"/>
        <v>14.603070517303715</v>
      </c>
      <c r="F91" s="327">
        <f t="shared" si="9"/>
        <v>14.353138320957395</v>
      </c>
      <c r="G91" s="327">
        <f t="shared" si="10"/>
        <v>270.04368531856062</v>
      </c>
      <c r="H91" s="312">
        <f t="shared" si="11"/>
        <v>0.08</v>
      </c>
      <c r="I91" s="327">
        <f t="shared" si="12"/>
        <v>3.2292563454422178</v>
      </c>
      <c r="J91" s="327">
        <f t="shared" si="1"/>
        <v>1848</v>
      </c>
      <c r="K91" s="334">
        <f t="shared" si="13"/>
        <v>1</v>
      </c>
      <c r="L91" s="322">
        <f t="shared" si="14"/>
        <v>5.6621369714253964</v>
      </c>
      <c r="M91" s="322">
        <f t="shared" si="15"/>
        <v>5.6221369714253964</v>
      </c>
      <c r="N91" s="327">
        <f t="shared" si="16"/>
        <v>0.15574988824408642</v>
      </c>
      <c r="O91" s="327">
        <f t="shared" si="2"/>
        <v>0.80612334977577471</v>
      </c>
      <c r="P91" s="331">
        <f t="shared" si="4"/>
        <v>131.03212899905523</v>
      </c>
      <c r="Q91" s="327">
        <f t="shared" si="17"/>
        <v>-1579.0404186535322</v>
      </c>
      <c r="R91" s="276">
        <f>IF(H91&gt;0, rate1(1,$L$52,$L$51,$L$54,L91,$L$53,$L$50,P91),"")</f>
        <v>2155.4098972899774</v>
      </c>
      <c r="S91" s="322">
        <f t="shared" si="18"/>
        <v>-0.90878651289151768</v>
      </c>
      <c r="T91" s="322">
        <f t="shared" si="19"/>
        <v>8.1596284965440843E-2</v>
      </c>
      <c r="U91" s="327">
        <f t="shared" si="3"/>
        <v>5.5821369714253963</v>
      </c>
      <c r="V91" s="335">
        <f t="shared" si="20"/>
        <v>5.5821369714253963</v>
      </c>
      <c r="W91" s="327">
        <f t="shared" si="21"/>
        <v>9.177801762696447E-4</v>
      </c>
      <c r="X91" s="327">
        <f t="shared" si="22"/>
        <v>-1589.2460978233819</v>
      </c>
      <c r="Y91" s="327">
        <f t="shared" si="5"/>
        <v>129.17424470492813</v>
      </c>
      <c r="Z91" s="107">
        <f>IF(H91&gt;0, rate1(1,$L$52,$L$51,$L$54,U91,$L$53,$L$50,Y91),"")</f>
        <v>2149.815045441449</v>
      </c>
      <c r="AA91" s="335">
        <f t="shared" si="23"/>
        <v>-0.91704058172187985</v>
      </c>
      <c r="AB91" s="335">
        <f t="shared" si="24"/>
        <v>4.7874843392480373E-4</v>
      </c>
      <c r="AC91" s="327">
        <f t="shared" si="25"/>
        <v>8.1596284965440843E-2</v>
      </c>
      <c r="AD91" s="327">
        <f t="shared" si="26"/>
        <v>0.9804367935854319</v>
      </c>
      <c r="AE91" s="327">
        <f t="shared" si="27"/>
        <v>-0.2917580071726395</v>
      </c>
      <c r="AF91" s="327">
        <f t="shared" si="28"/>
        <v>1500.9100540567586</v>
      </c>
      <c r="AG91" s="327">
        <f t="shared" si="29"/>
        <v>1495.3722102594443</v>
      </c>
      <c r="AH91" s="327">
        <f t="shared" si="30"/>
        <v>5.6623303596272345</v>
      </c>
      <c r="AI91" s="327">
        <f t="shared" si="31"/>
        <v>37.856504727027946</v>
      </c>
      <c r="AJ91" s="327">
        <f t="shared" si="32"/>
        <v>0.3217879400538371</v>
      </c>
      <c r="AK91" s="336">
        <f t="shared" si="33"/>
        <v>8.875806678575078E-2</v>
      </c>
      <c r="AL91" s="42">
        <f t="shared" si="34"/>
        <v>2.070831986854619</v>
      </c>
      <c r="BA91" s="8"/>
    </row>
    <row r="92" spans="1:53" x14ac:dyDescent="0.25">
      <c r="A92" s="115"/>
      <c r="B92" s="327">
        <f t="shared" si="6"/>
        <v>1500.9100540567586</v>
      </c>
      <c r="C92" s="327">
        <f t="shared" si="7"/>
        <v>1495.3722102594443</v>
      </c>
      <c r="D92" s="327">
        <f t="shared" si="8"/>
        <v>5.6623303596272345</v>
      </c>
      <c r="E92" s="327">
        <f t="shared" si="0"/>
        <v>15.114467403681939</v>
      </c>
      <c r="F92" s="327">
        <f t="shared" si="9"/>
        <v>14.858768960492828</v>
      </c>
      <c r="G92" s="327">
        <f t="shared" si="10"/>
        <v>291.60517039675068</v>
      </c>
      <c r="H92" s="312">
        <f t="shared" si="11"/>
        <v>0.08</v>
      </c>
      <c r="I92" s="327">
        <f t="shared" si="12"/>
        <v>3.3227062783885684</v>
      </c>
      <c r="J92" s="327">
        <f t="shared" si="1"/>
        <v>1848</v>
      </c>
      <c r="K92" s="334">
        <f t="shared" si="13"/>
        <v>1</v>
      </c>
      <c r="L92" s="322">
        <f t="shared" si="14"/>
        <v>5.7423303596272346</v>
      </c>
      <c r="M92" s="322">
        <f t="shared" si="15"/>
        <v>5.7023303596272346</v>
      </c>
      <c r="N92" s="327">
        <f t="shared" si="16"/>
        <v>0.15799283584465584</v>
      </c>
      <c r="O92" s="327">
        <f t="shared" si="2"/>
        <v>0.80861701279695908</v>
      </c>
      <c r="P92" s="331">
        <f t="shared" si="4"/>
        <v>133.52236660645619</v>
      </c>
      <c r="Q92" s="327">
        <f t="shared" si="17"/>
        <v>-1557.5385223654612</v>
      </c>
      <c r="R92" s="276">
        <f>IF(H92&gt;0, rate1(1,$L$52,$L$51,$L$54,L92,$L$53,$L$50,P92),"")</f>
        <v>2162.7083278301943</v>
      </c>
      <c r="S92" s="322">
        <f t="shared" si="18"/>
        <v>-0.89063133306597597</v>
      </c>
      <c r="T92" s="322">
        <f t="shared" si="19"/>
        <v>8.3566178705207397E-2</v>
      </c>
      <c r="U92" s="327">
        <f t="shared" si="3"/>
        <v>5.6623303596272345</v>
      </c>
      <c r="V92" s="335">
        <f t="shared" si="20"/>
        <v>5.6623303596272345</v>
      </c>
      <c r="W92" s="327">
        <f t="shared" si="21"/>
        <v>9.4433938581062193E-4</v>
      </c>
      <c r="X92" s="327">
        <f t="shared" si="22"/>
        <v>-1568.4194123720342</v>
      </c>
      <c r="Y92" s="327">
        <f t="shared" si="5"/>
        <v>131.65570438039825</v>
      </c>
      <c r="Z92" s="107">
        <f>IF(H92&gt;0, rate1(1,$L$52,$L$51,$L$54,U92,$L$53,$L$50,Y92),"")</f>
        <v>2157.25872428816</v>
      </c>
      <c r="AA92" s="335">
        <f t="shared" si="23"/>
        <v>-0.89911884546129472</v>
      </c>
      <c r="AB92" s="335">
        <f t="shared" si="24"/>
        <v>4.972513374123474E-4</v>
      </c>
      <c r="AC92" s="327">
        <f t="shared" si="25"/>
        <v>8.3566178705207397E-2</v>
      </c>
      <c r="AD92" s="327">
        <f t="shared" si="26"/>
        <v>0.95732509538592592</v>
      </c>
      <c r="AE92" s="327">
        <f t="shared" si="27"/>
        <v>-0.27986623214331796</v>
      </c>
      <c r="AF92" s="327">
        <f t="shared" si="28"/>
        <v>1500.9844807138979</v>
      </c>
      <c r="AG92" s="327">
        <f t="shared" si="29"/>
        <v>1495.288644080739</v>
      </c>
      <c r="AH92" s="327">
        <f t="shared" si="30"/>
        <v>5.742534530943078</v>
      </c>
      <c r="AI92" s="327">
        <f t="shared" si="31"/>
        <v>38.639597226246323</v>
      </c>
      <c r="AJ92" s="327">
        <f t="shared" si="32"/>
        <v>0.3325211615055722</v>
      </c>
      <c r="AK92" s="336">
        <f t="shared" si="33"/>
        <v>9.8980976835516918E-2</v>
      </c>
      <c r="AL92" s="42">
        <f t="shared" si="34"/>
        <v>2.1407908075901667</v>
      </c>
      <c r="BA92" s="8"/>
    </row>
    <row r="93" spans="1:53" x14ac:dyDescent="0.25">
      <c r="A93" s="115"/>
      <c r="B93" s="327">
        <f t="shared" si="6"/>
        <v>1500.9844807138979</v>
      </c>
      <c r="C93" s="327">
        <f t="shared" si="7"/>
        <v>1495.288644080739</v>
      </c>
      <c r="D93" s="327">
        <f t="shared" si="8"/>
        <v>5.742534530943078</v>
      </c>
      <c r="E93" s="327">
        <f t="shared" si="0"/>
        <v>15.637551930382454</v>
      </c>
      <c r="F93" s="327">
        <f t="shared" si="9"/>
        <v>15.376009667032196</v>
      </c>
      <c r="G93" s="327">
        <f t="shared" si="10"/>
        <v>314.57882105102112</v>
      </c>
      <c r="H93" s="312">
        <f t="shared" si="11"/>
        <v>0.08</v>
      </c>
      <c r="I93" s="327">
        <f t="shared" si="12"/>
        <v>3.4175019798953596</v>
      </c>
      <c r="J93" s="327">
        <f t="shared" si="1"/>
        <v>1848</v>
      </c>
      <c r="K93" s="334">
        <f t="shared" si="13"/>
        <v>1</v>
      </c>
      <c r="L93" s="322">
        <f t="shared" si="14"/>
        <v>5.822534530943078</v>
      </c>
      <c r="M93" s="322">
        <f t="shared" si="15"/>
        <v>5.782534530943078</v>
      </c>
      <c r="N93" s="327">
        <f t="shared" si="16"/>
        <v>0.1602364639474505</v>
      </c>
      <c r="O93" s="327">
        <f t="shared" si="2"/>
        <v>0.81112182596764815</v>
      </c>
      <c r="P93" s="331">
        <f t="shared" si="4"/>
        <v>136.02462609025036</v>
      </c>
      <c r="Q93" s="327">
        <f t="shared" si="17"/>
        <v>-1534.6266638548677</v>
      </c>
      <c r="R93" s="276">
        <f>IF(H93&gt;0, rate1(1,$L$52,$L$51,$L$54,L93,$L$53,$L$50,P93),"")</f>
        <v>2169.8200558412877</v>
      </c>
      <c r="S93" s="322">
        <f t="shared" si="18"/>
        <v>-0.87195271222894155</v>
      </c>
      <c r="T93" s="322">
        <f t="shared" si="19"/>
        <v>8.5598563949116163E-2</v>
      </c>
      <c r="U93" s="327">
        <f t="shared" si="3"/>
        <v>5.742534530943078</v>
      </c>
      <c r="V93" s="335">
        <f t="shared" si="20"/>
        <v>5.742534530943078</v>
      </c>
      <c r="W93" s="327">
        <f t="shared" si="21"/>
        <v>9.7128107340260783E-4</v>
      </c>
      <c r="X93" s="327">
        <f t="shared" si="22"/>
        <v>-1546.2181886108997</v>
      </c>
      <c r="Y93" s="327">
        <f t="shared" si="5"/>
        <v>134.14926630511638</v>
      </c>
      <c r="Z93" s="107">
        <f>IF(H93&gt;0, rate1(1,$L$52,$L$51,$L$54,U93,$L$53,$L$50,Y93),"")</f>
        <v>2164.5105406753132</v>
      </c>
      <c r="AA93" s="335">
        <f t="shared" si="23"/>
        <v>-0.88069389317686331</v>
      </c>
      <c r="AB93" s="335">
        <f t="shared" si="24"/>
        <v>5.1644825185342752E-4</v>
      </c>
      <c r="AC93" s="327">
        <f t="shared" si="25"/>
        <v>8.5598563949116163E-2</v>
      </c>
      <c r="AD93" s="327">
        <f t="shared" si="26"/>
        <v>0.93459511829609421</v>
      </c>
      <c r="AE93" s="327">
        <f t="shared" si="27"/>
        <v>-0.26873184959443758</v>
      </c>
      <c r="AF93" s="327">
        <f t="shared" si="28"/>
        <v>1501.0591186138963</v>
      </c>
      <c r="AG93" s="327">
        <f t="shared" si="29"/>
        <v>1495.2030455167899</v>
      </c>
      <c r="AH93" s="327">
        <f t="shared" si="30"/>
        <v>5.8227493780989654</v>
      </c>
      <c r="AI93" s="327">
        <f t="shared" si="31"/>
        <v>39.449614136748167</v>
      </c>
      <c r="AJ93" s="327">
        <f t="shared" si="32"/>
        <v>0.3434793876546689</v>
      </c>
      <c r="AK93" s="336">
        <f t="shared" si="33"/>
        <v>0.1102484831687383</v>
      </c>
      <c r="AL93" s="42">
        <f t="shared" si="34"/>
        <v>2.2121967832642699</v>
      </c>
      <c r="BA93" s="8"/>
    </row>
    <row r="94" spans="1:53" x14ac:dyDescent="0.25">
      <c r="A94" s="115"/>
      <c r="B94" s="327">
        <f t="shared" si="6"/>
        <v>1501.0591186138963</v>
      </c>
      <c r="C94" s="327">
        <f t="shared" si="7"/>
        <v>1495.2030455167899</v>
      </c>
      <c r="D94" s="327">
        <f t="shared" si="8"/>
        <v>5.8227493780989654</v>
      </c>
      <c r="E94" s="327">
        <f t="shared" si="0"/>
        <v>16.172489636917518</v>
      </c>
      <c r="F94" s="327">
        <f t="shared" si="9"/>
        <v>15.905020783649986</v>
      </c>
      <c r="G94" s="327">
        <f t="shared" si="10"/>
        <v>339.03815209536316</v>
      </c>
      <c r="H94" s="312">
        <f t="shared" ref="H94:H125" si="35">dv(S93)</f>
        <v>0.08</v>
      </c>
      <c r="I94" s="327">
        <f t="shared" si="12"/>
        <v>3.5136438582638676</v>
      </c>
      <c r="J94" s="327">
        <f t="shared" si="1"/>
        <v>1848</v>
      </c>
      <c r="K94" s="334">
        <f t="shared" si="13"/>
        <v>1</v>
      </c>
      <c r="L94" s="322">
        <f t="shared" si="14"/>
        <v>5.9027493780989655</v>
      </c>
      <c r="M94" s="322">
        <f t="shared" si="15"/>
        <v>5.8627493780989655</v>
      </c>
      <c r="N94" s="327">
        <f t="shared" si="16"/>
        <v>0.16248076970370029</v>
      </c>
      <c r="O94" s="327">
        <f t="shared" si="2"/>
        <v>0.81363586254592213</v>
      </c>
      <c r="P94" s="331">
        <f t="shared" si="4"/>
        <v>138.53880090261165</v>
      </c>
      <c r="Q94" s="327">
        <f t="shared" si="17"/>
        <v>-1510.2312700416533</v>
      </c>
      <c r="R94" s="276">
        <f>IF(H94&gt;0, rate1(1,$L$52,$L$51,$L$54,L94,$L$53,$L$50,P94),"")</f>
        <v>2176.7516286341306</v>
      </c>
      <c r="S94" s="322">
        <f t="shared" si="18"/>
        <v>-0.85271616799063665</v>
      </c>
      <c r="T94" s="322">
        <f t="shared" si="19"/>
        <v>8.7698683970528962E-2</v>
      </c>
      <c r="U94" s="327">
        <f t="shared" si="3"/>
        <v>5.8227493780989654</v>
      </c>
      <c r="V94" s="335">
        <f t="shared" si="20"/>
        <v>5.8227493780989654</v>
      </c>
      <c r="W94" s="327">
        <f t="shared" si="21"/>
        <v>9.986053551074292E-4</v>
      </c>
      <c r="X94" s="327">
        <f t="shared" si="22"/>
        <v>-1522.5703602207825</v>
      </c>
      <c r="Y94" s="327">
        <f t="shared" si="5"/>
        <v>136.65482210614147</v>
      </c>
      <c r="Z94" s="107">
        <f>IF(H94&gt;0, rate1(1,$L$52,$L$51,$L$54,U94,$L$53,$L$50,Y94),"")</f>
        <v>2171.5772706028579</v>
      </c>
      <c r="AA94" s="335">
        <f t="shared" si="23"/>
        <v>-0.86173156458205635</v>
      </c>
      <c r="AB94" s="335">
        <f t="shared" si="24"/>
        <v>5.3638525236671694E-4</v>
      </c>
      <c r="AC94" s="327">
        <f t="shared" si="25"/>
        <v>8.7698683970528962E-2</v>
      </c>
      <c r="AD94" s="327">
        <f t="shared" si="26"/>
        <v>0.91221437287341622</v>
      </c>
      <c r="AE94" s="327">
        <f t="shared" si="27"/>
        <v>-0.25829314304005035</v>
      </c>
      <c r="AF94" s="327">
        <f t="shared" si="28"/>
        <v>1501.1339006996295</v>
      </c>
      <c r="AG94" s="327">
        <f t="shared" si="29"/>
        <v>1495.1153468328193</v>
      </c>
      <c r="AH94" s="327">
        <f t="shared" si="30"/>
        <v>5.9029747981965226</v>
      </c>
      <c r="AI94" s="327">
        <f t="shared" si="31"/>
        <v>40.288787575437894</v>
      </c>
      <c r="AJ94" s="327">
        <f t="shared" si="32"/>
        <v>0.35467071753673496</v>
      </c>
      <c r="AK94" s="336">
        <f t="shared" si="33"/>
        <v>0.12265849627479423</v>
      </c>
      <c r="AL94" s="42">
        <f t="shared" si="34"/>
        <v>2.2850996701889805</v>
      </c>
      <c r="BA94" s="8"/>
    </row>
    <row r="95" spans="1:53" x14ac:dyDescent="0.25">
      <c r="A95" s="115"/>
      <c r="B95" s="327">
        <f t="shared" si="6"/>
        <v>1501.1339006996295</v>
      </c>
      <c r="C95" s="327">
        <f t="shared" si="7"/>
        <v>1495.1153468328193</v>
      </c>
      <c r="D95" s="327">
        <f t="shared" si="8"/>
        <v>5.9029747981965226</v>
      </c>
      <c r="E95" s="327">
        <f t="shared" si="0"/>
        <v>16.719457701179042</v>
      </c>
      <c r="F95" s="327">
        <f t="shared" si="9"/>
        <v>16.445973669048279</v>
      </c>
      <c r="G95" s="327">
        <f t="shared" si="10"/>
        <v>365.05981023119568</v>
      </c>
      <c r="H95" s="312">
        <f t="shared" si="35"/>
        <v>0.08</v>
      </c>
      <c r="I95" s="327">
        <f t="shared" si="12"/>
        <v>3.6111323200861078</v>
      </c>
      <c r="J95" s="327">
        <f t="shared" si="1"/>
        <v>1848</v>
      </c>
      <c r="K95" s="334">
        <f t="shared" si="13"/>
        <v>1</v>
      </c>
      <c r="L95" s="322">
        <f t="shared" si="14"/>
        <v>5.9829747981965227</v>
      </c>
      <c r="M95" s="322">
        <f t="shared" si="15"/>
        <v>5.9429747981965226</v>
      </c>
      <c r="N95" s="327">
        <f t="shared" si="16"/>
        <v>0.16472575038502946</v>
      </c>
      <c r="O95" s="327">
        <f t="shared" si="2"/>
        <v>0.81615703463578337</v>
      </c>
      <c r="P95" s="331">
        <f t="shared" si="4"/>
        <v>141.0647869446565</v>
      </c>
      <c r="Q95" s="327">
        <f t="shared" si="17"/>
        <v>-1484.2756100120623</v>
      </c>
      <c r="R95" s="276">
        <f>IF(H95&gt;0, rate1(1,$L$52,$L$51,$L$54,L95,$L$53,$L$50,P95),"")</f>
        <v>2183.5093069671425</v>
      </c>
      <c r="S95" s="322">
        <f t="shared" si="18"/>
        <v>-0.83288640914754841</v>
      </c>
      <c r="T95" s="322">
        <f t="shared" si="19"/>
        <v>8.9872318089608869E-2</v>
      </c>
      <c r="U95" s="327">
        <f t="shared" si="3"/>
        <v>5.9029747981965226</v>
      </c>
      <c r="V95" s="335">
        <f t="shared" si="20"/>
        <v>5.9029747981965226</v>
      </c>
      <c r="W95" s="327">
        <f t="shared" si="21"/>
        <v>1.0263123464753221E-3</v>
      </c>
      <c r="X95" s="327">
        <f t="shared" si="22"/>
        <v>-1497.4007769614557</v>
      </c>
      <c r="Y95" s="327">
        <f t="shared" si="5"/>
        <v>139.17226592475086</v>
      </c>
      <c r="Z95" s="107">
        <f>IF(H95&gt;0, rate1(1,$L$52,$L$51,$L$54,U95,$L$53,$L$50,Y95),"")</f>
        <v>2178.465391566418</v>
      </c>
      <c r="AA95" s="335">
        <f t="shared" si="23"/>
        <v>-0.84219694364393272</v>
      </c>
      <c r="AB95" s="335">
        <f t="shared" si="24"/>
        <v>5.5711326089014069E-4</v>
      </c>
      <c r="AC95" s="327">
        <f t="shared" si="25"/>
        <v>8.9872318089608869E-2</v>
      </c>
      <c r="AD95" s="327">
        <f t="shared" si="26"/>
        <v>0.89015173638043377</v>
      </c>
      <c r="AE95" s="327">
        <f t="shared" si="27"/>
        <v>-0.24849368688599868</v>
      </c>
      <c r="AF95" s="327">
        <f t="shared" si="28"/>
        <v>1501.2087541319249</v>
      </c>
      <c r="AG95" s="327">
        <f t="shared" si="29"/>
        <v>1495.0254745147297</v>
      </c>
      <c r="AH95" s="327">
        <f t="shared" si="30"/>
        <v>5.9832106924797905</v>
      </c>
      <c r="AI95" s="327">
        <f t="shared" si="31"/>
        <v>41.159576376818833</v>
      </c>
      <c r="AJ95" s="327">
        <f t="shared" si="32"/>
        <v>0.36610393319696244</v>
      </c>
      <c r="AK95" s="336">
        <f t="shared" si="33"/>
        <v>0.13631793236453332</v>
      </c>
      <c r="AL95" s="42">
        <f t="shared" si="34"/>
        <v>2.3595533496283898</v>
      </c>
      <c r="BA95" s="8"/>
    </row>
    <row r="96" spans="1:53" x14ac:dyDescent="0.25">
      <c r="A96" s="115"/>
      <c r="B96" s="327">
        <f t="shared" si="6"/>
        <v>1501.2087541319249</v>
      </c>
      <c r="C96" s="327">
        <f t="shared" si="7"/>
        <v>1495.0254745147297</v>
      </c>
      <c r="D96" s="327">
        <f t="shared" si="8"/>
        <v>5.9832106924797905</v>
      </c>
      <c r="E96" s="327">
        <f t="shared" si="0"/>
        <v>17.278646324875815</v>
      </c>
      <c r="F96" s="327">
        <f t="shared" si="9"/>
        <v>16.999052013027431</v>
      </c>
      <c r="G96" s="327">
        <f t="shared" si="10"/>
        <v>392.72373158656222</v>
      </c>
      <c r="H96" s="312">
        <f t="shared" si="35"/>
        <v>0.08</v>
      </c>
      <c r="I96" s="327">
        <f t="shared" si="12"/>
        <v>3.7099677703171436</v>
      </c>
      <c r="J96" s="327">
        <f t="shared" si="1"/>
        <v>1848</v>
      </c>
      <c r="K96" s="334">
        <f t="shared" si="13"/>
        <v>1</v>
      </c>
      <c r="L96" s="322">
        <f t="shared" si="14"/>
        <v>6.0632106924797906</v>
      </c>
      <c r="M96" s="322">
        <f t="shared" si="15"/>
        <v>6.0232106924797906</v>
      </c>
      <c r="N96" s="327">
        <f t="shared" si="16"/>
        <v>0.16697140337711325</v>
      </c>
      <c r="O96" s="327">
        <f t="shared" si="2"/>
        <v>0.81868307713398147</v>
      </c>
      <c r="P96" s="331">
        <f t="shared" si="4"/>
        <v>143.60248247830069</v>
      </c>
      <c r="Q96" s="327">
        <f t="shared" si="17"/>
        <v>-1456.6796331536493</v>
      </c>
      <c r="R96" s="276">
        <f>IF(H96&gt;0, rate1(1,$L$52,$L$51,$L$54,L96,$L$53,$L$50,P96),"")</f>
        <v>2190.0990798315138</v>
      </c>
      <c r="S96" s="322">
        <f t="shared" si="18"/>
        <v>-0.81242723181352239</v>
      </c>
      <c r="T96" s="322">
        <f t="shared" si="19"/>
        <v>9.2125852252860352E-2</v>
      </c>
      <c r="U96" s="327">
        <f t="shared" si="3"/>
        <v>5.9832106924797905</v>
      </c>
      <c r="V96" s="335">
        <f t="shared" si="20"/>
        <v>5.9832106924797905</v>
      </c>
      <c r="W96" s="327">
        <f t="shared" si="21"/>
        <v>1.054402162585788E-3</v>
      </c>
      <c r="X96" s="327">
        <f t="shared" si="22"/>
        <v>-1470.6310501843645</v>
      </c>
      <c r="Y96" s="327">
        <f t="shared" si="5"/>
        <v>141.70149432513293</v>
      </c>
      <c r="Z96" s="107">
        <f>IF(H96&gt;0, rate1(1,$L$52,$L$51,$L$54,U96,$L$53,$L$50,Y96),"")</f>
        <v>2185.1810980498367</v>
      </c>
      <c r="AA96" s="335">
        <f t="shared" si="23"/>
        <v>-0.82205425720093916</v>
      </c>
      <c r="AB96" s="335">
        <f t="shared" si="24"/>
        <v>5.7868867429094713E-4</v>
      </c>
      <c r="AC96" s="327">
        <f t="shared" si="25"/>
        <v>9.2125852252860352E-2</v>
      </c>
      <c r="AD96" s="327">
        <f t="shared" si="26"/>
        <v>0.8683773125964882</v>
      </c>
      <c r="AE96" s="327">
        <f t="shared" si="27"/>
        <v>-0.23928178775613224</v>
      </c>
      <c r="AF96" s="327">
        <f t="shared" si="28"/>
        <v>1501.2835996830493</v>
      </c>
      <c r="AG96" s="327">
        <f t="shared" si="29"/>
        <v>1494.9333486624769</v>
      </c>
      <c r="AH96" s="327">
        <f t="shared" si="30"/>
        <v>6.0634569661172852</v>
      </c>
      <c r="AI96" s="327">
        <f t="shared" si="31"/>
        <v>42.064696114089813</v>
      </c>
      <c r="AJ96" s="327">
        <f t="shared" si="32"/>
        <v>0.37778857100643182</v>
      </c>
      <c r="AK96" s="336">
        <f t="shared" si="33"/>
        <v>0.15134363950585122</v>
      </c>
      <c r="AL96" s="42">
        <f t="shared" si="34"/>
        <v>2.4356162467727511</v>
      </c>
      <c r="BA96" s="8"/>
    </row>
    <row r="97" spans="1:53" x14ac:dyDescent="0.25">
      <c r="A97" s="115"/>
      <c r="B97" s="327">
        <f t="shared" si="6"/>
        <v>1501.2835996830493</v>
      </c>
      <c r="C97" s="327">
        <f t="shared" si="7"/>
        <v>1494.9333486624769</v>
      </c>
      <c r="D97" s="327">
        <f t="shared" si="8"/>
        <v>6.0634569661172852</v>
      </c>
      <c r="E97" s="327">
        <f t="shared" si="0"/>
        <v>17.850260282354533</v>
      </c>
      <c r="F97" s="327">
        <f t="shared" si="9"/>
        <v>17.564453303615174</v>
      </c>
      <c r="G97" s="327">
        <f t="shared" si="10"/>
        <v>422.11331535623185</v>
      </c>
      <c r="H97" s="312">
        <f t="shared" si="35"/>
        <v>0.08</v>
      </c>
      <c r="I97" s="327">
        <f t="shared" si="12"/>
        <v>3.8101506123434317</v>
      </c>
      <c r="J97" s="327">
        <f t="shared" si="1"/>
        <v>1848</v>
      </c>
      <c r="K97" s="334">
        <f t="shared" si="13"/>
        <v>1</v>
      </c>
      <c r="L97" s="322">
        <f t="shared" si="14"/>
        <v>6.1434569661172853</v>
      </c>
      <c r="M97" s="322">
        <f t="shared" si="15"/>
        <v>6.1034569661172853</v>
      </c>
      <c r="N97" s="327">
        <f t="shared" si="16"/>
        <v>0.16921772617364894</v>
      </c>
      <c r="O97" s="327">
        <f t="shared" si="2"/>
        <v>0.82121152962711974</v>
      </c>
      <c r="P97" s="331">
        <f t="shared" si="4"/>
        <v>146.15178804240881</v>
      </c>
      <c r="Q97" s="327">
        <f t="shared" si="17"/>
        <v>-1427.3597904624844</v>
      </c>
      <c r="R97" s="276">
        <f>IF(H97&gt;0, rate1(1,$L$52,$L$51,$L$54,L97,$L$53,$L$50,P97),"")</f>
        <v>2196.5266783733055</v>
      </c>
      <c r="S97" s="322">
        <f t="shared" si="18"/>
        <v>-0.79130140653280678</v>
      </c>
      <c r="T97" s="322">
        <f t="shared" si="19"/>
        <v>9.446636147134059E-2</v>
      </c>
      <c r="U97" s="327">
        <f t="shared" si="3"/>
        <v>6.0634569661172852</v>
      </c>
      <c r="V97" s="335">
        <f t="shared" si="20"/>
        <v>6.0634569661172852</v>
      </c>
      <c r="W97" s="327">
        <f t="shared" si="21"/>
        <v>1.0828749181008845E-3</v>
      </c>
      <c r="X97" s="327">
        <f t="shared" si="22"/>
        <v>-1442.1793826316516</v>
      </c>
      <c r="Y97" s="327">
        <f t="shared" si="5"/>
        <v>144.24240620756541</v>
      </c>
      <c r="Z97" s="107">
        <f>IF(H97&gt;0, rate1(1,$L$52,$L$51,$L$54,U97,$L$53,$L$50,Y97),"")</f>
        <v>2191.7303161088016</v>
      </c>
      <c r="AA97" s="335">
        <f t="shared" si="23"/>
        <v>-0.80126676535910768</v>
      </c>
      <c r="AB97" s="335">
        <f t="shared" si="24"/>
        <v>6.0117409532340889E-4</v>
      </c>
      <c r="AC97" s="327">
        <f t="shared" si="25"/>
        <v>9.446636147134059E-2</v>
      </c>
      <c r="AD97" s="327">
        <f t="shared" si="26"/>
        <v>0.84686229843064909</v>
      </c>
      <c r="AE97" s="327">
        <f t="shared" si="27"/>
        <v>-0.23060998887810111</v>
      </c>
      <c r="AF97" s="327">
        <f t="shared" si="28"/>
        <v>1501.3583510477515</v>
      </c>
      <c r="AG97" s="327">
        <f t="shared" si="29"/>
        <v>1494.8388823010055</v>
      </c>
      <c r="AH97" s="327">
        <f t="shared" si="30"/>
        <v>6.1437135279982247</v>
      </c>
      <c r="AI97" s="327">
        <f t="shared" si="31"/>
        <v>43.007154159083598</v>
      </c>
      <c r="AJ97" s="327">
        <f t="shared" si="32"/>
        <v>0.38973500271728839</v>
      </c>
      <c r="AK97" s="336">
        <f t="shared" si="33"/>
        <v>0.16786344393183134</v>
      </c>
      <c r="AL97" s="42">
        <f t="shared" si="34"/>
        <v>2.5133518051915891</v>
      </c>
      <c r="BA97" s="8"/>
    </row>
    <row r="98" spans="1:53" x14ac:dyDescent="0.25">
      <c r="A98" s="115"/>
      <c r="B98" s="327">
        <f t="shared" si="6"/>
        <v>1501.3583510477515</v>
      </c>
      <c r="C98" s="327">
        <f t="shared" si="7"/>
        <v>1494.8388823010055</v>
      </c>
      <c r="D98" s="327">
        <f t="shared" si="8"/>
        <v>6.1437135279982247</v>
      </c>
      <c r="E98" s="327">
        <f t="shared" si="0"/>
        <v>18.434520660889632</v>
      </c>
      <c r="F98" s="327">
        <f t="shared" si="9"/>
        <v>18.142390471622083</v>
      </c>
      <c r="G98" s="327">
        <f t="shared" si="10"/>
        <v>453.31561601094711</v>
      </c>
      <c r="H98" s="312">
        <f t="shared" si="35"/>
        <v>0.08</v>
      </c>
      <c r="I98" s="327">
        <f t="shared" si="12"/>
        <v>3.9116812480476253</v>
      </c>
      <c r="J98" s="327">
        <f t="shared" si="1"/>
        <v>1848</v>
      </c>
      <c r="K98" s="334">
        <f t="shared" si="13"/>
        <v>1</v>
      </c>
      <c r="L98" s="322">
        <f t="shared" si="14"/>
        <v>6.2237135279982247</v>
      </c>
      <c r="M98" s="322">
        <f t="shared" si="15"/>
        <v>6.1837135279982247</v>
      </c>
      <c r="N98" s="327">
        <f t="shared" si="16"/>
        <v>0.17146471637072658</v>
      </c>
      <c r="O98" s="327">
        <f t="shared" si="2"/>
        <v>0.82373971590445383</v>
      </c>
      <c r="P98" s="331">
        <f t="shared" si="4"/>
        <v>148.71260637297965</v>
      </c>
      <c r="Q98" s="327">
        <f t="shared" si="17"/>
        <v>-1396.2288364071442</v>
      </c>
      <c r="R98" s="276">
        <f>IF(H98&gt;0, rate1(1,$L$52,$L$51,$L$54,L98,$L$53,$L$50,P98),"")</f>
        <v>2202.7975890074581</v>
      </c>
      <c r="S98" s="322">
        <f t="shared" si="18"/>
        <v>-0.76947055439463941</v>
      </c>
      <c r="T98" s="322">
        <f t="shared" si="19"/>
        <v>9.6901706527344311E-2</v>
      </c>
      <c r="U98" s="327">
        <f t="shared" si="3"/>
        <v>6.1437135279982247</v>
      </c>
      <c r="V98" s="335">
        <f t="shared" si="20"/>
        <v>6.1437135279982247</v>
      </c>
      <c r="W98" s="327">
        <f t="shared" si="21"/>
        <v>1.1117307272296983E-3</v>
      </c>
      <c r="X98" s="327">
        <f t="shared" si="22"/>
        <v>-1411.9603801130934</v>
      </c>
      <c r="Y98" s="327">
        <f t="shared" si="5"/>
        <v>146.79490272580767</v>
      </c>
      <c r="Z98" s="107">
        <f>IF(H98&gt;0, rate1(1,$L$52,$L$51,$L$54,U98,$L$53,$L$50,Y98),"")</f>
        <v>2198.11871710372</v>
      </c>
      <c r="AA98" s="335">
        <f t="shared" si="23"/>
        <v>-0.77979664178807895</v>
      </c>
      <c r="AB98" s="335">
        <f t="shared" si="24"/>
        <v>6.2463918693137562E-4</v>
      </c>
      <c r="AC98" s="327">
        <f t="shared" si="25"/>
        <v>9.6901706527344311E-2</v>
      </c>
      <c r="AD98" s="327">
        <f t="shared" si="26"/>
        <v>0.82557885580090495</v>
      </c>
      <c r="AE98" s="327">
        <f t="shared" si="27"/>
        <v>-0.22243462927044227</v>
      </c>
      <c r="AF98" s="327">
        <f t="shared" si="28"/>
        <v>1501.4329140575949</v>
      </c>
      <c r="AG98" s="327">
        <f t="shared" si="29"/>
        <v>1494.741980594478</v>
      </c>
      <c r="AH98" s="327">
        <f t="shared" si="30"/>
        <v>6.223980290541884</v>
      </c>
      <c r="AI98" s="327">
        <f t="shared" si="31"/>
        <v>43.990290806068352</v>
      </c>
      <c r="AJ98" s="327">
        <f t="shared" si="32"/>
        <v>0.40195452794119629</v>
      </c>
      <c r="AK98" s="336">
        <f t="shared" si="33"/>
        <v>0.18601733635795867</v>
      </c>
      <c r="AL98" s="42">
        <f t="shared" si="34"/>
        <v>2.5928290260775757</v>
      </c>
      <c r="BA98" s="8"/>
    </row>
    <row r="99" spans="1:53" x14ac:dyDescent="0.25">
      <c r="A99" s="115"/>
      <c r="B99" s="327">
        <f t="shared" si="6"/>
        <v>1501.4329140575949</v>
      </c>
      <c r="C99" s="327">
        <f t="shared" si="7"/>
        <v>1494.741980594478</v>
      </c>
      <c r="D99" s="327">
        <f t="shared" si="8"/>
        <v>6.223980290541884</v>
      </c>
      <c r="E99" s="327">
        <f t="shared" si="0"/>
        <v>19.031666826223312</v>
      </c>
      <c r="F99" s="327">
        <f t="shared" si="9"/>
        <v>18.733093743556473</v>
      </c>
      <c r="G99" s="327">
        <f t="shared" si="10"/>
        <v>486.4215570108866</v>
      </c>
      <c r="H99" s="312">
        <f t="shared" si="35"/>
        <v>0.08</v>
      </c>
      <c r="I99" s="327">
        <f t="shared" si="12"/>
        <v>4.0145600778701009</v>
      </c>
      <c r="J99" s="327">
        <f t="shared" si="1"/>
        <v>1848</v>
      </c>
      <c r="K99" s="334">
        <f t="shared" si="13"/>
        <v>1</v>
      </c>
      <c r="L99" s="322">
        <f t="shared" si="14"/>
        <v>6.303980290541884</v>
      </c>
      <c r="M99" s="322">
        <f t="shared" si="15"/>
        <v>6.263980290541884</v>
      </c>
      <c r="N99" s="327">
        <f t="shared" si="16"/>
        <v>0.17371237166159048</v>
      </c>
      <c r="O99" s="327">
        <f t="shared" si="2"/>
        <v>0.82626472068581081</v>
      </c>
      <c r="P99" s="331">
        <f t="shared" si="4"/>
        <v>151.28484232712398</v>
      </c>
      <c r="Q99" s="327">
        <f t="shared" si="17"/>
        <v>-1363.195608232116</v>
      </c>
      <c r="R99" s="276">
        <f>IF(H99&gt;0, rate1(1,$L$52,$L$51,$L$54,L99,$L$53,$L$50,P99),"")</f>
        <v>2208.9170657750374</v>
      </c>
      <c r="S99" s="322">
        <f t="shared" si="18"/>
        <v>-0.74689500983843837</v>
      </c>
      <c r="T99" s="322">
        <f t="shared" si="19"/>
        <v>9.9440647940059246E-2</v>
      </c>
      <c r="U99" s="327">
        <f t="shared" si="3"/>
        <v>6.223980290541884</v>
      </c>
      <c r="V99" s="335">
        <f t="shared" si="20"/>
        <v>6.223980290541884</v>
      </c>
      <c r="W99" s="327">
        <f t="shared" si="21"/>
        <v>1.1409697037816358E-3</v>
      </c>
      <c r="X99" s="327">
        <f t="shared" si="22"/>
        <v>-1379.884842197295</v>
      </c>
      <c r="Y99" s="327">
        <f t="shared" si="5"/>
        <v>149.35888720845111</v>
      </c>
      <c r="Z99" s="107">
        <f>IF(H99&gt;0, rate1(1,$L$52,$L$51,$L$54,U99,$L$53,$L$50,Y99),"")</f>
        <v>2204.3517306360723</v>
      </c>
      <c r="AA99" s="335">
        <f t="shared" si="23"/>
        <v>-0.75760484173644438</v>
      </c>
      <c r="AB99" s="335">
        <f t="shared" si="24"/>
        <v>6.4916167541641647E-4</v>
      </c>
      <c r="AC99" s="327">
        <f t="shared" si="25"/>
        <v>9.9440647940059246E-2</v>
      </c>
      <c r="AD99" s="327">
        <f t="shared" si="26"/>
        <v>0.8044999872509111</v>
      </c>
      <c r="AE99" s="327">
        <f t="shared" si="27"/>
        <v>-0.21471545054221439</v>
      </c>
      <c r="AF99" s="327">
        <f t="shared" si="28"/>
        <v>1501.5071857813164</v>
      </c>
      <c r="AG99" s="327">
        <f t="shared" si="29"/>
        <v>1494.6425399465379</v>
      </c>
      <c r="AH99" s="327">
        <f t="shared" si="30"/>
        <v>6.3042571695188014</v>
      </c>
      <c r="AI99" s="327">
        <f t="shared" si="31"/>
        <v>45.017827731422209</v>
      </c>
      <c r="AJ99" s="327">
        <f t="shared" si="32"/>
        <v>0.41445948008881356</v>
      </c>
      <c r="AK99" s="336">
        <f t="shared" si="33"/>
        <v>0.20595882213321226</v>
      </c>
      <c r="AL99" s="42">
        <f t="shared" si="34"/>
        <v>2.6741230834871899</v>
      </c>
      <c r="BA99" s="8"/>
    </row>
    <row r="100" spans="1:53" x14ac:dyDescent="0.25">
      <c r="A100" s="115"/>
      <c r="B100" s="327">
        <f t="shared" si="6"/>
        <v>1501.5071857813164</v>
      </c>
      <c r="C100" s="327">
        <f t="shared" si="7"/>
        <v>1494.6425399465379</v>
      </c>
      <c r="D100" s="327">
        <f t="shared" si="8"/>
        <v>6.3042571695188014</v>
      </c>
      <c r="E100" s="327">
        <f t="shared" si="0"/>
        <v>19.641958654211621</v>
      </c>
      <c r="F100" s="327">
        <f t="shared" si="9"/>
        <v>19.336812740217468</v>
      </c>
      <c r="G100" s="327">
        <f t="shared" si="10"/>
        <v>521.52616953262282</v>
      </c>
      <c r="H100" s="312">
        <f t="shared" si="35"/>
        <v>0.08</v>
      </c>
      <c r="I100" s="327">
        <f t="shared" si="12"/>
        <v>4.1187875008670742</v>
      </c>
      <c r="J100" s="327">
        <f t="shared" si="1"/>
        <v>1848</v>
      </c>
      <c r="K100" s="334">
        <f t="shared" si="13"/>
        <v>1</v>
      </c>
      <c r="L100" s="322">
        <f t="shared" si="14"/>
        <v>6.3842571695188015</v>
      </c>
      <c r="M100" s="322">
        <f t="shared" si="15"/>
        <v>6.3442571695188015</v>
      </c>
      <c r="N100" s="327">
        <f t="shared" si="16"/>
        <v>0.17596068983171698</v>
      </c>
      <c r="O100" s="327">
        <f t="shared" si="2"/>
        <v>0.82878336308273259</v>
      </c>
      <c r="P100" s="331">
        <f t="shared" si="4"/>
        <v>153.86840281060032</v>
      </c>
      <c r="Q100" s="327">
        <f t="shared" si="17"/>
        <v>-1328.1647789639919</v>
      </c>
      <c r="R100" s="276">
        <f>IF(H100&gt;0, rate1(1,$L$52,$L$51,$L$54,L100,$L$53,$L$50,P100),"")</f>
        <v>2214.8901419916006</v>
      </c>
      <c r="S100" s="322">
        <f t="shared" si="18"/>
        <v>-0.72353366742292191</v>
      </c>
      <c r="T100" s="322">
        <f t="shared" si="19"/>
        <v>0.1020929809249497</v>
      </c>
      <c r="U100" s="327">
        <f t="shared" si="3"/>
        <v>6.3042571695188014</v>
      </c>
      <c r="V100" s="335">
        <f t="shared" si="20"/>
        <v>6.3042571695188014</v>
      </c>
      <c r="W100" s="327">
        <f t="shared" si="21"/>
        <v>1.1705919611735283E-3</v>
      </c>
      <c r="X100" s="327">
        <f t="shared" si="22"/>
        <v>-1345.8595284935782</v>
      </c>
      <c r="Y100" s="327">
        <f t="shared" si="5"/>
        <v>151.93426508398153</v>
      </c>
      <c r="Z100" s="107">
        <f>IF(H100&gt;0, rate1(1,$L$52,$L$51,$L$54,U100,$L$53,$L$50,Y100),"")</f>
        <v>2210.4345567388468</v>
      </c>
      <c r="AA100" s="335">
        <f t="shared" si="23"/>
        <v>-0.73465095520569601</v>
      </c>
      <c r="AB100" s="335">
        <f t="shared" si="24"/>
        <v>6.7482853404056647E-4</v>
      </c>
      <c r="AC100" s="327">
        <f t="shared" si="25"/>
        <v>0.1020929809249497</v>
      </c>
      <c r="AD100" s="327">
        <f t="shared" si="26"/>
        <v>0.78359941374235487</v>
      </c>
      <c r="AE100" s="327">
        <f t="shared" si="27"/>
        <v>-0.20741524505129447</v>
      </c>
      <c r="AF100" s="327">
        <f t="shared" si="28"/>
        <v>1501.5810534902232</v>
      </c>
      <c r="AG100" s="327">
        <f t="shared" si="29"/>
        <v>1494.540446965613</v>
      </c>
      <c r="AH100" s="327">
        <f t="shared" si="30"/>
        <v>6.3845440838834078</v>
      </c>
      <c r="AI100" s="327">
        <f t="shared" si="31"/>
        <v>46.093925377783755</v>
      </c>
      <c r="AJ100" s="327">
        <f t="shared" si="32"/>
        <v>0.42726334824930906</v>
      </c>
      <c r="AK100" s="336">
        <f t="shared" si="33"/>
        <v>0.22785646399157852</v>
      </c>
      <c r="AL100" s="42">
        <f t="shared" si="34"/>
        <v>2.757316029134858</v>
      </c>
      <c r="BA100" s="8"/>
    </row>
    <row r="101" spans="1:53" x14ac:dyDescent="0.25">
      <c r="A101" s="115"/>
      <c r="B101" s="327">
        <f t="shared" si="6"/>
        <v>1501.5810534902232</v>
      </c>
      <c r="C101" s="327">
        <f t="shared" si="7"/>
        <v>1494.540446965613</v>
      </c>
      <c r="D101" s="327">
        <f t="shared" si="8"/>
        <v>6.3845440838834078</v>
      </c>
      <c r="E101" s="327">
        <f t="shared" si="0"/>
        <v>20.265679078234733</v>
      </c>
      <c r="F101" s="327">
        <f t="shared" si="9"/>
        <v>19.953818866223177</v>
      </c>
      <c r="G101" s="327">
        <f t="shared" si="10"/>
        <v>558.72886042958692</v>
      </c>
      <c r="H101" s="312">
        <f t="shared" si="35"/>
        <v>0.08</v>
      </c>
      <c r="I101" s="327">
        <f t="shared" si="12"/>
        <v>4.2243639147661272</v>
      </c>
      <c r="J101" s="327">
        <f t="shared" si="1"/>
        <v>1848</v>
      </c>
      <c r="K101" s="334">
        <f t="shared" si="13"/>
        <v>1</v>
      </c>
      <c r="L101" s="322">
        <f t="shared" si="14"/>
        <v>6.4645440838834078</v>
      </c>
      <c r="M101" s="322">
        <f t="shared" si="15"/>
        <v>6.4245440838834078</v>
      </c>
      <c r="N101" s="327">
        <f t="shared" si="16"/>
        <v>0.17820966875421007</v>
      </c>
      <c r="O101" s="327">
        <f t="shared" si="2"/>
        <v>0.83129216620978441</v>
      </c>
      <c r="P101" s="331">
        <f t="shared" si="4"/>
        <v>156.4631967087137</v>
      </c>
      <c r="Q101" s="327">
        <f t="shared" si="17"/>
        <v>-1291.0365796156261</v>
      </c>
      <c r="R101" s="276">
        <f>IF(H101&gt;0, rate1(1,$L$52,$L$51,$L$54,L101,$L$53,$L$50,P101),"")</f>
        <v>2220.7216412313937</v>
      </c>
      <c r="S101" s="322">
        <f t="shared" si="18"/>
        <v>-0.69934380930951978</v>
      </c>
      <c r="T101" s="322">
        <f t="shared" si="19"/>
        <v>0.1048696960426275</v>
      </c>
      <c r="U101" s="327">
        <f t="shared" si="3"/>
        <v>6.3845440838834078</v>
      </c>
      <c r="V101" s="335">
        <f t="shared" si="20"/>
        <v>6.3845440838834078</v>
      </c>
      <c r="W101" s="327">
        <f t="shared" si="21"/>
        <v>1.200597612447396E-3</v>
      </c>
      <c r="X101" s="327">
        <f t="shared" si="22"/>
        <v>-1309.7868964080285</v>
      </c>
      <c r="Y101" s="327">
        <f t="shared" si="5"/>
        <v>154.52094380934705</v>
      </c>
      <c r="Z101" s="107">
        <f>IF(H101&gt;0, rate1(1,$L$52,$L$51,$L$54,U101,$L$53,$L$50,Y101),"")</f>
        <v>2216.372177368291</v>
      </c>
      <c r="AA101" s="335">
        <f t="shared" si="23"/>
        <v>-0.71089304224346805</v>
      </c>
      <c r="AB101" s="335">
        <f t="shared" si="24"/>
        <v>7.0173738673521679E-4</v>
      </c>
      <c r="AC101" s="327">
        <f t="shared" si="25"/>
        <v>0.1048696960426275</v>
      </c>
      <c r="AD101" s="327">
        <f t="shared" si="26"/>
        <v>0.76285145298296231</v>
      </c>
      <c r="AE101" s="327">
        <f t="shared" si="27"/>
        <v>-0.20049953994983297</v>
      </c>
      <c r="AF101" s="327">
        <f t="shared" si="28"/>
        <v>1501.6543934629349</v>
      </c>
      <c r="AG101" s="327">
        <f t="shared" si="29"/>
        <v>1494.4355772695703</v>
      </c>
      <c r="AH101" s="327">
        <f t="shared" si="30"/>
        <v>6.4648409556168183</v>
      </c>
      <c r="AI101" s="327">
        <f t="shared" si="31"/>
        <v>47.223251260107084</v>
      </c>
      <c r="AJ101" s="327">
        <f t="shared" si="32"/>
        <v>0.44038091804378326</v>
      </c>
      <c r="AK101" s="336">
        <f t="shared" si="33"/>
        <v>0.25189565233257666</v>
      </c>
      <c r="AL101" s="42">
        <f t="shared" si="34"/>
        <v>2.8424976032330025</v>
      </c>
      <c r="BA101" s="8"/>
    </row>
    <row r="102" spans="1:53" x14ac:dyDescent="0.25">
      <c r="A102" s="115"/>
      <c r="B102" s="327">
        <f t="shared" si="6"/>
        <v>1501.6543934629349</v>
      </c>
      <c r="C102" s="327">
        <f t="shared" si="7"/>
        <v>1494.4355772695703</v>
      </c>
      <c r="D102" s="327">
        <f t="shared" si="8"/>
        <v>6.4648409556168183</v>
      </c>
      <c r="E102" s="327">
        <f t="shared" si="0"/>
        <v>20.903137013092142</v>
      </c>
      <c r="F102" s="327">
        <f t="shared" si="9"/>
        <v>20.584408045663437</v>
      </c>
      <c r="G102" s="327">
        <f t="shared" si="10"/>
        <v>598.13371453065827</v>
      </c>
      <c r="H102" s="312">
        <f t="shared" si="35"/>
        <v>0.08</v>
      </c>
      <c r="I102" s="327">
        <f t="shared" si="12"/>
        <v>4.3312897160187278</v>
      </c>
      <c r="J102" s="327">
        <f t="shared" si="1"/>
        <v>1848</v>
      </c>
      <c r="K102" s="334">
        <f t="shared" si="13"/>
        <v>1</v>
      </c>
      <c r="L102" s="322">
        <f t="shared" si="14"/>
        <v>6.5448409556168183</v>
      </c>
      <c r="M102" s="322">
        <f t="shared" si="15"/>
        <v>6.5048409556168183</v>
      </c>
      <c r="N102" s="327">
        <f t="shared" si="16"/>
        <v>0.18045930638545471</v>
      </c>
      <c r="O102" s="327">
        <f t="shared" si="2"/>
        <v>0.83378732223697671</v>
      </c>
      <c r="P102" s="331">
        <f t="shared" si="4"/>
        <v>159.06913482036904</v>
      </c>
      <c r="Q102" s="327">
        <f t="shared" si="17"/>
        <v>-1251.7064851241321</v>
      </c>
      <c r="R102" s="276">
        <f>IF(H102&gt;0, rate1(1,$L$52,$L$51,$L$54,L102,$L$53,$L$50,P102),"")</f>
        <v>2226.4161876890512</v>
      </c>
      <c r="S102" s="322">
        <f t="shared" si="18"/>
        <v>-0.67428090954998565</v>
      </c>
      <c r="T102" s="322">
        <f t="shared" si="19"/>
        <v>0.1077831714834273</v>
      </c>
      <c r="U102" s="327">
        <f t="shared" si="3"/>
        <v>6.4648409556168183</v>
      </c>
      <c r="V102" s="335">
        <f t="shared" si="20"/>
        <v>6.4648409556168183</v>
      </c>
      <c r="W102" s="327">
        <f t="shared" si="21"/>
        <v>1.2309867702651189E-3</v>
      </c>
      <c r="X102" s="327">
        <f t="shared" si="22"/>
        <v>-1271.5648053946816</v>
      </c>
      <c r="Y102" s="327">
        <f t="shared" si="5"/>
        <v>157.11883280181448</v>
      </c>
      <c r="Z102" s="107">
        <f>IF(H102&gt;0, rate1(1,$L$52,$L$51,$L$54,U102,$L$53,$L$50,Y102),"")</f>
        <v>2222.1693672409933</v>
      </c>
      <c r="AA102" s="335">
        <f t="shared" si="23"/>
        <v>-0.68628744671270381</v>
      </c>
      <c r="AB102" s="335">
        <f t="shared" si="24"/>
        <v>7.299981819024029E-4</v>
      </c>
      <c r="AC102" s="327">
        <f t="shared" si="25"/>
        <v>0.1077831714834273</v>
      </c>
      <c r="AD102" s="327">
        <f t="shared" si="26"/>
        <v>0.74223089652080587</v>
      </c>
      <c r="AE102" s="327">
        <f t="shared" si="27"/>
        <v>-0.19393631228255084</v>
      </c>
      <c r="AF102" s="327">
        <f t="shared" si="28"/>
        <v>1501.7270695978368</v>
      </c>
      <c r="AG102" s="327">
        <f t="shared" si="29"/>
        <v>1494.327794098087</v>
      </c>
      <c r="AH102" s="327">
        <f t="shared" si="30"/>
        <v>6.545147709578985</v>
      </c>
      <c r="AI102" s="327">
        <f t="shared" si="31"/>
        <v>48.411061723056719</v>
      </c>
      <c r="AJ102" s="327">
        <f t="shared" si="32"/>
        <v>0.45382843518907678</v>
      </c>
      <c r="AK102" s="336">
        <f t="shared" si="33"/>
        <v>0.27828064569491634</v>
      </c>
      <c r="AL102" s="42">
        <f t="shared" si="34"/>
        <v>2.9297661715616803</v>
      </c>
      <c r="BA102" s="8"/>
    </row>
    <row r="103" spans="1:53" x14ac:dyDescent="0.25">
      <c r="A103" s="115"/>
      <c r="B103" s="327">
        <f t="shared" si="6"/>
        <v>1501.7270695978368</v>
      </c>
      <c r="C103" s="327">
        <f t="shared" si="7"/>
        <v>1494.327794098087</v>
      </c>
      <c r="D103" s="327">
        <f t="shared" si="8"/>
        <v>6.545147709578985</v>
      </c>
      <c r="E103" s="327">
        <f t="shared" si="0"/>
        <v>21.554670730088429</v>
      </c>
      <c r="F103" s="327">
        <f t="shared" si="9"/>
        <v>21.228903871590283</v>
      </c>
      <c r="G103" s="327">
        <f t="shared" si="10"/>
        <v>639.84983749114497</v>
      </c>
      <c r="H103" s="312">
        <f t="shared" si="35"/>
        <v>0.08</v>
      </c>
      <c r="I103" s="327">
        <f t="shared" si="12"/>
        <v>4.4395652998498916</v>
      </c>
      <c r="J103" s="327">
        <f t="shared" si="1"/>
        <v>1848</v>
      </c>
      <c r="K103" s="334">
        <f t="shared" si="13"/>
        <v>1</v>
      </c>
      <c r="L103" s="322">
        <f t="shared" si="14"/>
        <v>6.625147709578985</v>
      </c>
      <c r="M103" s="322">
        <f t="shared" si="15"/>
        <v>6.585147709578985</v>
      </c>
      <c r="N103" s="327">
        <f t="shared" si="16"/>
        <v>0.18270960076104359</v>
      </c>
      <c r="O103" s="327">
        <f t="shared" si="2"/>
        <v>0.83626465201549205</v>
      </c>
      <c r="P103" s="331">
        <f t="shared" si="4"/>
        <v>161.68612979509476</v>
      </c>
      <c r="Q103" s="327">
        <f t="shared" si="17"/>
        <v>-1210.0648573516969</v>
      </c>
      <c r="R103" s="276">
        <f>IF(H103&gt;0, rate1(1,$L$52,$L$51,$L$54,L103,$L$53,$L$50,P103),"")</f>
        <v>2231.9782159576857</v>
      </c>
      <c r="S103" s="322">
        <f t="shared" si="18"/>
        <v>-0.64829841043066527</v>
      </c>
      <c r="T103" s="322">
        <f t="shared" si="19"/>
        <v>0.11084740457482178</v>
      </c>
      <c r="U103" s="327">
        <f t="shared" si="3"/>
        <v>6.545147709578985</v>
      </c>
      <c r="V103" s="335">
        <f t="shared" si="20"/>
        <v>6.545147709578985</v>
      </c>
      <c r="W103" s="327">
        <f t="shared" si="21"/>
        <v>1.2617595469599507E-3</v>
      </c>
      <c r="X103" s="327">
        <f t="shared" si="22"/>
        <v>-1231.0861816410224</v>
      </c>
      <c r="Y103" s="327">
        <f t="shared" si="5"/>
        <v>159.72784337391937</v>
      </c>
      <c r="Z103" s="107">
        <f>IF(H103&gt;0, rate1(1,$L$52,$L$51,$L$54,U103,$L$53,$L$50,Y103),"")</f>
        <v>2227.830704057375</v>
      </c>
      <c r="AA103" s="335">
        <f t="shared" si="23"/>
        <v>-0.66078858412820762</v>
      </c>
      <c r="AB103" s="335">
        <f t="shared" si="24"/>
        <v>7.5973519990341336E-4</v>
      </c>
      <c r="AC103" s="327">
        <f t="shared" si="25"/>
        <v>0.11084740457482178</v>
      </c>
      <c r="AD103" s="327">
        <f t="shared" si="26"/>
        <v>0.72171288364266717</v>
      </c>
      <c r="AE103" s="327">
        <f t="shared" si="27"/>
        <v>-0.18769573083567367</v>
      </c>
      <c r="AF103" s="327">
        <f t="shared" si="28"/>
        <v>1501.798931794023</v>
      </c>
      <c r="AG103" s="327">
        <f t="shared" si="29"/>
        <v>1494.2169466935122</v>
      </c>
      <c r="AH103" s="327">
        <f t="shared" si="30"/>
        <v>6.6254642733705458</v>
      </c>
      <c r="AI103" s="327">
        <f t="shared" si="31"/>
        <v>49.66330037735603</v>
      </c>
      <c r="AJ103" s="327">
        <f t="shared" si="32"/>
        <v>0.46762379640500901</v>
      </c>
      <c r="AK103" s="336">
        <f t="shared" si="33"/>
        <v>0.30723693386770123</v>
      </c>
      <c r="AL103" s="42">
        <f t="shared" si="34"/>
        <v>3.019229813625889</v>
      </c>
      <c r="BA103" s="8"/>
    </row>
    <row r="104" spans="1:53" x14ac:dyDescent="0.25">
      <c r="A104" s="115"/>
      <c r="B104" s="327">
        <f t="shared" si="6"/>
        <v>1501.798931794023</v>
      </c>
      <c r="C104" s="327">
        <f t="shared" si="7"/>
        <v>1494.2169466935122</v>
      </c>
      <c r="D104" s="327">
        <f t="shared" si="8"/>
        <v>6.6254642733705458</v>
      </c>
      <c r="E104" s="327">
        <f t="shared" si="0"/>
        <v>22.220651775862869</v>
      </c>
      <c r="F104" s="327">
        <f t="shared" si="9"/>
        <v>21.887661252975647</v>
      </c>
      <c r="G104" s="327">
        <f t="shared" si="10"/>
        <v>683.99174681258887</v>
      </c>
      <c r="H104" s="312">
        <f t="shared" si="35"/>
        <v>0.08</v>
      </c>
      <c r="I104" s="327">
        <f t="shared" si="12"/>
        <v>4.5491910603064749</v>
      </c>
      <c r="J104" s="327">
        <f t="shared" si="1"/>
        <v>1848</v>
      </c>
      <c r="K104" s="334">
        <f t="shared" si="13"/>
        <v>1</v>
      </c>
      <c r="L104" s="322">
        <f t="shared" si="14"/>
        <v>6.7054642733705458</v>
      </c>
      <c r="M104" s="322">
        <f t="shared" si="15"/>
        <v>6.6654642733705458</v>
      </c>
      <c r="N104" s="327">
        <f t="shared" si="16"/>
        <v>0.18496054999200062</v>
      </c>
      <c r="O104" s="327">
        <f t="shared" si="2"/>
        <v>0.83871955820816013</v>
      </c>
      <c r="P104" s="331">
        <f t="shared" si="4"/>
        <v>164.314096072903</v>
      </c>
      <c r="Q104" s="327">
        <f t="shared" si="17"/>
        <v>-1165.9965369477163</v>
      </c>
      <c r="R104" s="276">
        <f>IF(H104&gt;0, rate1(1,$L$52,$L$51,$L$54,L104,$L$53,$L$50,P104),"")</f>
        <v>2237.4119802597661</v>
      </c>
      <c r="S104" s="322">
        <f t="shared" si="18"/>
        <v>-0.62134746505697525</v>
      </c>
      <c r="T104" s="322">
        <f t="shared" si="19"/>
        <v>0.1140782922712381</v>
      </c>
      <c r="U104" s="327">
        <f t="shared" si="3"/>
        <v>6.6254642733705458</v>
      </c>
      <c r="V104" s="335">
        <f t="shared" si="20"/>
        <v>6.6254642733705458</v>
      </c>
      <c r="W104" s="327">
        <f t="shared" si="21"/>
        <v>1.2929160545258611E-3</v>
      </c>
      <c r="X104" s="327">
        <f t="shared" si="22"/>
        <v>-1188.238635760074</v>
      </c>
      <c r="Y104" s="327">
        <f t="shared" si="5"/>
        <v>162.34788867136839</v>
      </c>
      <c r="Z104" s="107">
        <f>IF(H104&gt;0, rate1(1,$L$52,$L$51,$L$54,U104,$L$53,$L$50,Y104),"")</f>
        <v>2233.360578150015</v>
      </c>
      <c r="AA104" s="335">
        <f t="shared" si="23"/>
        <v>-0.63434869817707484</v>
      </c>
      <c r="AB104" s="335">
        <f t="shared" si="24"/>
        <v>7.9108947556170723E-4</v>
      </c>
      <c r="AC104" s="327">
        <f t="shared" si="25"/>
        <v>0.1140782922712381</v>
      </c>
      <c r="AD104" s="327">
        <f t="shared" si="26"/>
        <v>0.70127276984290854</v>
      </c>
      <c r="AE104" s="327">
        <f t="shared" si="27"/>
        <v>-0.18174992085273325</v>
      </c>
      <c r="AF104" s="327">
        <f t="shared" si="28"/>
        <v>1501.8698140517438</v>
      </c>
      <c r="AG104" s="327">
        <f t="shared" si="29"/>
        <v>1494.102868401241</v>
      </c>
      <c r="AH104" s="327">
        <f t="shared" si="30"/>
        <v>6.7057905772017774</v>
      </c>
      <c r="AI104" s="327">
        <f t="shared" si="31"/>
        <v>50.986717367086541</v>
      </c>
      <c r="AJ104" s="327">
        <f t="shared" si="32"/>
        <v>0.48178677345142196</v>
      </c>
      <c r="AK104" s="336">
        <f t="shared" si="33"/>
        <v>0.3390139885434264</v>
      </c>
      <c r="AL104" s="42">
        <f t="shared" si="34"/>
        <v>3.1110075927232428</v>
      </c>
      <c r="BA104" s="8"/>
    </row>
    <row r="105" spans="1:53" x14ac:dyDescent="0.25">
      <c r="A105" s="115"/>
      <c r="B105" s="327">
        <f t="shared" si="6"/>
        <v>1501.8698140517438</v>
      </c>
      <c r="C105" s="327">
        <f t="shared" si="7"/>
        <v>1494.102868401241</v>
      </c>
      <c r="D105" s="327">
        <f t="shared" si="8"/>
        <v>6.7057905772017774</v>
      </c>
      <c r="E105" s="327">
        <f t="shared" si="0"/>
        <v>22.901489550405355</v>
      </c>
      <c r="F105" s="327">
        <f t="shared" si="9"/>
        <v>22.56107066313411</v>
      </c>
      <c r="G105" s="327">
        <f t="shared" si="10"/>
        <v>730.67982043144389</v>
      </c>
      <c r="H105" s="312">
        <f t="shared" si="35"/>
        <v>0.08</v>
      </c>
      <c r="I105" s="327">
        <f t="shared" si="12"/>
        <v>4.6601673903016492</v>
      </c>
      <c r="J105" s="327">
        <f t="shared" si="1"/>
        <v>1848</v>
      </c>
      <c r="K105" s="334">
        <f t="shared" si="13"/>
        <v>1</v>
      </c>
      <c r="L105" s="322">
        <f t="shared" si="14"/>
        <v>6.7857905772017775</v>
      </c>
      <c r="M105" s="322">
        <f t="shared" si="15"/>
        <v>6.7457905772017774</v>
      </c>
      <c r="N105" s="327">
        <f t="shared" si="16"/>
        <v>0.18721215226114118</v>
      </c>
      <c r="O105" s="327">
        <f t="shared" si="2"/>
        <v>0.84114697059978316</v>
      </c>
      <c r="P105" s="331">
        <f t="shared" si="4"/>
        <v>166.95294982676367</v>
      </c>
      <c r="Q105" s="327">
        <f t="shared" si="17"/>
        <v>-1119.3803739177986</v>
      </c>
      <c r="R105" s="276">
        <f>IF(H105&gt;0, rate1(1,$L$52,$L$51,$L$54,L105,$L$53,$L$50,P105),"")</f>
        <v>2242.7215631645099</v>
      </c>
      <c r="S105" s="322">
        <f t="shared" si="18"/>
        <v>-0.59337663899078585</v>
      </c>
      <c r="T105" s="322">
        <f t="shared" si="19"/>
        <v>0.11749397328915138</v>
      </c>
      <c r="U105" s="327">
        <f t="shared" si="3"/>
        <v>6.7057905772017774</v>
      </c>
      <c r="V105" s="335">
        <f t="shared" si="20"/>
        <v>6.7057905772017774</v>
      </c>
      <c r="W105" s="327">
        <f t="shared" si="21"/>
        <v>1.324456404624641E-3</v>
      </c>
      <c r="X105" s="327">
        <f t="shared" si="22"/>
        <v>-1142.9040243226298</v>
      </c>
      <c r="Y105" s="327">
        <f t="shared" si="5"/>
        <v>164.97888361366361</v>
      </c>
      <c r="Z105" s="107">
        <f>IF(H105&gt;0, rate1(1,$L$52,$L$51,$L$54,U105,$L$53,$L$50,Y105),"")</f>
        <v>2238.7632015924314</v>
      </c>
      <c r="AA105" s="335">
        <f t="shared" si="23"/>
        <v>-0.6069175792911311</v>
      </c>
      <c r="AB105" s="335">
        <f t="shared" si="24"/>
        <v>8.2422174086172243E-4</v>
      </c>
      <c r="AC105" s="327">
        <f t="shared" si="25"/>
        <v>0.11749397328915138</v>
      </c>
      <c r="AD105" s="327">
        <f t="shared" si="26"/>
        <v>0.68088598725928584</v>
      </c>
      <c r="AE105" s="327">
        <f t="shared" si="27"/>
        <v>-0.17607274804077283</v>
      </c>
      <c r="AF105" s="327">
        <f t="shared" si="28"/>
        <v>1501.9395322307157</v>
      </c>
      <c r="AG105" s="327">
        <f t="shared" si="29"/>
        <v>1493.9853744279519</v>
      </c>
      <c r="AH105" s="327">
        <f t="shared" si="30"/>
        <v>6.7861265537700088</v>
      </c>
      <c r="AI105" s="327">
        <f t="shared" si="31"/>
        <v>52.389014855399985</v>
      </c>
      <c r="AJ105" s="327">
        <f t="shared" si="32"/>
        <v>0.49633927757792196</v>
      </c>
      <c r="AK105" s="336">
        <f t="shared" si="33"/>
        <v>0.37388848241957967</v>
      </c>
      <c r="AL105" s="42">
        <f t="shared" si="34"/>
        <v>3.2052310464176186</v>
      </c>
      <c r="BA105" s="8"/>
    </row>
    <row r="106" spans="1:53" x14ac:dyDescent="0.25">
      <c r="A106" s="115"/>
      <c r="B106" s="327">
        <f t="shared" si="6"/>
        <v>1501.9395322307157</v>
      </c>
      <c r="C106" s="327">
        <f t="shared" si="7"/>
        <v>1493.9853744279519</v>
      </c>
      <c r="D106" s="327">
        <f t="shared" si="8"/>
        <v>6.7861265537700088</v>
      </c>
      <c r="E106" s="327">
        <f t="shared" si="0"/>
        <v>23.597636689442215</v>
      </c>
      <c r="F106" s="327">
        <f t="shared" si="9"/>
        <v>23.249563119923785</v>
      </c>
      <c r="G106" s="327">
        <f t="shared" si="10"/>
        <v>780.04081456912979</v>
      </c>
      <c r="H106" s="312">
        <f t="shared" si="35"/>
        <v>0.08</v>
      </c>
      <c r="I106" s="327">
        <f t="shared" si="12"/>
        <v>4.7724946816582809</v>
      </c>
      <c r="J106" s="327">
        <f t="shared" si="1"/>
        <v>1848</v>
      </c>
      <c r="K106" s="334">
        <f t="shared" si="13"/>
        <v>1</v>
      </c>
      <c r="L106" s="322">
        <f t="shared" si="14"/>
        <v>6.8661265537700089</v>
      </c>
      <c r="M106" s="322">
        <f t="shared" si="15"/>
        <v>6.8261265537700089</v>
      </c>
      <c r="N106" s="327">
        <f t="shared" si="16"/>
        <v>0.18946440581970947</v>
      </c>
      <c r="O106" s="327">
        <f t="shared" si="2"/>
        <v>0.84354128193270961</v>
      </c>
      <c r="P106" s="331">
        <f t="shared" si="4"/>
        <v>169.60260890760918</v>
      </c>
      <c r="Q106" s="327">
        <f t="shared" si="17"/>
        <v>-1070.088684224238</v>
      </c>
      <c r="R106" s="276">
        <f>IF(H106&gt;0, rate1(1,$L$52,$L$51,$L$54,L106,$L$53,$L$50,P106),"")</f>
        <v>2247.9108838235811</v>
      </c>
      <c r="S106" s="322">
        <f t="shared" si="18"/>
        <v>-0.56433156197731327</v>
      </c>
      <c r="T106" s="322">
        <f t="shared" si="19"/>
        <v>0.12111524847087192</v>
      </c>
      <c r="U106" s="327">
        <f t="shared" si="3"/>
        <v>6.7861265537700088</v>
      </c>
      <c r="V106" s="335">
        <f t="shared" si="20"/>
        <v>6.7861265537700088</v>
      </c>
      <c r="W106" s="327">
        <f t="shared" si="21"/>
        <v>1.3563807086249824E-3</v>
      </c>
      <c r="X106" s="327">
        <f t="shared" si="22"/>
        <v>-1094.9579438286673</v>
      </c>
      <c r="Y106" s="327">
        <f t="shared" si="5"/>
        <v>167.62074483735802</v>
      </c>
      <c r="Z106" s="107">
        <f>IF(H106&gt;0, rate1(1,$L$52,$L$51,$L$54,U106,$L$53,$L$50,Y106),"")</f>
        <v>2244.0426168018448</v>
      </c>
      <c r="AA106" s="335">
        <f t="shared" si="23"/>
        <v>-0.57844223702660114</v>
      </c>
      <c r="AB106" s="335">
        <f t="shared" si="24"/>
        <v>8.5931602488037299E-4</v>
      </c>
      <c r="AC106" s="327">
        <f t="shared" si="25"/>
        <v>0.12111524847087192</v>
      </c>
      <c r="AD106" s="327">
        <f t="shared" si="26"/>
        <v>0.66052789396902334</v>
      </c>
      <c r="AE106" s="327">
        <f t="shared" si="27"/>
        <v>-0.17063961853693374</v>
      </c>
      <c r="AF106" s="327">
        <f t="shared" si="28"/>
        <v>1502.0078813880646</v>
      </c>
      <c r="AG106" s="327">
        <f t="shared" si="29"/>
        <v>1493.864259179481</v>
      </c>
      <c r="AH106" s="327">
        <f t="shared" si="30"/>
        <v>6.8664721381440561</v>
      </c>
      <c r="AI106" s="327">
        <f t="shared" si="31"/>
        <v>53.879025784536921</v>
      </c>
      <c r="AJ106" s="327">
        <f t="shared" si="32"/>
        <v>0.51130567362918222</v>
      </c>
      <c r="AK106" s="336">
        <f t="shared" si="33"/>
        <v>0.41216807838670355</v>
      </c>
      <c r="AL106" s="42">
        <f t="shared" si="34"/>
        <v>3.3020459458703977</v>
      </c>
      <c r="BA106" s="8"/>
    </row>
    <row r="107" spans="1:53" x14ac:dyDescent="0.25">
      <c r="A107" s="115"/>
      <c r="B107" s="327">
        <f t="shared" si="6"/>
        <v>1502.0078813880646</v>
      </c>
      <c r="C107" s="327">
        <f t="shared" si="7"/>
        <v>1493.864259179481</v>
      </c>
      <c r="D107" s="327">
        <f t="shared" si="8"/>
        <v>6.8664721381440561</v>
      </c>
      <c r="E107" s="327">
        <f t="shared" si="0"/>
        <v>24.309595435231238</v>
      </c>
      <c r="F107" s="327">
        <f t="shared" si="9"/>
        <v>23.953616062336728</v>
      </c>
      <c r="G107" s="327">
        <f t="shared" si="10"/>
        <v>832.20846550377723</v>
      </c>
      <c r="H107" s="312">
        <f t="shared" si="35"/>
        <v>0.08</v>
      </c>
      <c r="I107" s="327">
        <f t="shared" si="12"/>
        <v>4.8861733251501391</v>
      </c>
      <c r="J107" s="327">
        <f t="shared" si="1"/>
        <v>1848</v>
      </c>
      <c r="K107" s="334">
        <f t="shared" si="13"/>
        <v>1</v>
      </c>
      <c r="L107" s="322">
        <f t="shared" si="14"/>
        <v>6.9464721381440562</v>
      </c>
      <c r="M107" s="322">
        <f t="shared" si="15"/>
        <v>6.9064721381440561</v>
      </c>
      <c r="N107" s="327">
        <f t="shared" si="16"/>
        <v>0.1917173089841846</v>
      </c>
      <c r="O107" s="327">
        <f t="shared" si="2"/>
        <v>0.84589627218543351</v>
      </c>
      <c r="P107" s="331">
        <f t="shared" si="4"/>
        <v>172.26299279170345</v>
      </c>
      <c r="Q107" s="327">
        <f t="shared" si="17"/>
        <v>-1017.9866164673278</v>
      </c>
      <c r="R107" s="276">
        <f>IF(H107&gt;0, rate1(1,$L$52,$L$51,$L$54,L107,$L$53,$L$50,P107),"")</f>
        <v>2252.9837057545406</v>
      </c>
      <c r="S107" s="322">
        <f t="shared" si="18"/>
        <v>-0.53415451848283702</v>
      </c>
      <c r="T107" s="322">
        <f t="shared" si="19"/>
        <v>0.1249661013114758</v>
      </c>
      <c r="U107" s="327">
        <f t="shared" si="3"/>
        <v>6.8664721381440561</v>
      </c>
      <c r="V107" s="335">
        <f t="shared" si="20"/>
        <v>6.8664721381440561</v>
      </c>
      <c r="W107" s="327">
        <f t="shared" si="21"/>
        <v>1.3886890775793859E-3</v>
      </c>
      <c r="X107" s="327">
        <f t="shared" si="22"/>
        <v>-1044.2691428242447</v>
      </c>
      <c r="Y107" s="327">
        <f t="shared" si="5"/>
        <v>170.27339064176968</v>
      </c>
      <c r="Z107" s="107">
        <f>IF(H107&gt;0, rate1(1,$L$52,$L$51,$L$54,U107,$L$53,$L$50,Y107),"")</f>
        <v>2249.2027046670373</v>
      </c>
      <c r="AA107" s="335">
        <f t="shared" si="23"/>
        <v>-0.54886651590829383</v>
      </c>
      <c r="AB107" s="335">
        <f t="shared" si="24"/>
        <v>8.9658409121526144E-4</v>
      </c>
      <c r="AC107" s="327">
        <f t="shared" si="25"/>
        <v>0.1249661013114758</v>
      </c>
      <c r="AD107" s="327">
        <f t="shared" si="26"/>
        <v>0.64017360836601134</v>
      </c>
      <c r="AE107" s="327">
        <f t="shared" si="27"/>
        <v>-0.16542729159292091</v>
      </c>
      <c r="AF107" s="327">
        <f t="shared" si="28"/>
        <v>1502.0746325957373</v>
      </c>
      <c r="AG107" s="327">
        <f t="shared" si="29"/>
        <v>1493.7392930781696</v>
      </c>
      <c r="AH107" s="327">
        <f t="shared" si="30"/>
        <v>6.9468272676549025</v>
      </c>
      <c r="AI107" s="327">
        <f t="shared" si="31"/>
        <v>55.466935243379289</v>
      </c>
      <c r="AJ107" s="327">
        <f t="shared" si="32"/>
        <v>0.526713155641232</v>
      </c>
      <c r="AK107" s="336">
        <f t="shared" si="33"/>
        <v>0.45419591754786487</v>
      </c>
      <c r="AL107" s="42">
        <f t="shared" si="34"/>
        <v>3.4016143855202219</v>
      </c>
      <c r="BA107" s="8"/>
    </row>
    <row r="108" spans="1:53" x14ac:dyDescent="0.25">
      <c r="A108" s="115"/>
      <c r="B108" s="327">
        <f t="shared" si="6"/>
        <v>1502.0746325957373</v>
      </c>
      <c r="C108" s="327">
        <f t="shared" si="7"/>
        <v>1493.7392930781696</v>
      </c>
      <c r="D108" s="327">
        <f t="shared" si="8"/>
        <v>6.9468272676549025</v>
      </c>
      <c r="E108" s="327">
        <f t="shared" si="0"/>
        <v>25.037925231195452</v>
      </c>
      <c r="F108" s="327">
        <f t="shared" si="9"/>
        <v>24.673760333213345</v>
      </c>
      <c r="G108" s="327">
        <f t="shared" si="10"/>
        <v>887.32419380687543</v>
      </c>
      <c r="H108" s="312">
        <f t="shared" si="35"/>
        <v>0.08</v>
      </c>
      <c r="I108" s="327">
        <f t="shared" si="12"/>
        <v>5.0012037105406302</v>
      </c>
      <c r="J108" s="327">
        <f t="shared" si="1"/>
        <v>1848</v>
      </c>
      <c r="K108" s="334">
        <f t="shared" si="13"/>
        <v>1</v>
      </c>
      <c r="L108" s="322">
        <f t="shared" si="14"/>
        <v>7.0268272676549026</v>
      </c>
      <c r="M108" s="322">
        <f t="shared" si="15"/>
        <v>6.9868272676549026</v>
      </c>
      <c r="N108" s="327">
        <f t="shared" si="16"/>
        <v>0.19397086013331233</v>
      </c>
      <c r="O108" s="327">
        <f t="shared" si="2"/>
        <v>0.84820501865173537</v>
      </c>
      <c r="P108" s="331">
        <f t="shared" si="4"/>
        <v>174.93402253023737</v>
      </c>
      <c r="Q108" s="327">
        <f t="shared" si="17"/>
        <v>-962.93140839194677</v>
      </c>
      <c r="R108" s="276">
        <f>IF(H108&gt;0, rate1(1,$L$52,$L$51,$L$54,L108,$L$53,$L$50,P108),"")</f>
        <v>2257.9436441996322</v>
      </c>
      <c r="S108" s="322">
        <f t="shared" si="18"/>
        <v>-0.5027839627141758</v>
      </c>
      <c r="T108" s="322">
        <f t="shared" si="19"/>
        <v>0.12907434797413053</v>
      </c>
      <c r="U108" s="327">
        <f t="shared" si="3"/>
        <v>6.9468272676549025</v>
      </c>
      <c r="V108" s="335">
        <f t="shared" si="20"/>
        <v>6.9468272676549025</v>
      </c>
      <c r="W108" s="327">
        <f t="shared" si="21"/>
        <v>1.4213816222685693E-3</v>
      </c>
      <c r="X108" s="327">
        <f t="shared" si="22"/>
        <v>-990.69883408577527</v>
      </c>
      <c r="Y108" s="327">
        <f t="shared" si="5"/>
        <v>172.93674093701048</v>
      </c>
      <c r="Z108" s="107">
        <f>IF(H108&gt;0, rate1(1,$L$52,$L$51,$L$54,U108,$L$53,$L$50,Y108),"")</f>
        <v>2254.247192230373</v>
      </c>
      <c r="AA108" s="335">
        <f t="shared" si="23"/>
        <v>-0.5181306416403596</v>
      </c>
      <c r="AB108" s="335">
        <f t="shared" si="24"/>
        <v>9.3627095276382021E-4</v>
      </c>
      <c r="AC108" s="327">
        <f t="shared" si="25"/>
        <v>0.12907434797413053</v>
      </c>
      <c r="AD108" s="327">
        <f t="shared" si="26"/>
        <v>0.61979782393348859</v>
      </c>
      <c r="AE108" s="327">
        <f t="shared" si="27"/>
        <v>-0.16041370175357519</v>
      </c>
      <c r="AF108" s="327">
        <f t="shared" si="28"/>
        <v>1502.1395291078966</v>
      </c>
      <c r="AG108" s="327">
        <f t="shared" si="29"/>
        <v>1493.6102187301954</v>
      </c>
      <c r="AH108" s="327">
        <f t="shared" si="30"/>
        <v>7.0271918817932741</v>
      </c>
      <c r="AI108" s="327">
        <f t="shared" si="31"/>
        <v>57.164556921385525</v>
      </c>
      <c r="AJ108" s="327">
        <f t="shared" si="32"/>
        <v>0.54259219923050572</v>
      </c>
      <c r="AK108" s="336">
        <f t="shared" si="33"/>
        <v>0.50035597061295489</v>
      </c>
      <c r="AL108" s="42">
        <f t="shared" si="34"/>
        <v>3.5041172818499868</v>
      </c>
      <c r="BA108" s="8"/>
    </row>
    <row r="109" spans="1:53" x14ac:dyDescent="0.25">
      <c r="A109" s="115"/>
      <c r="B109" s="327">
        <f t="shared" si="6"/>
        <v>1502.1395291078966</v>
      </c>
      <c r="C109" s="327">
        <f t="shared" si="7"/>
        <v>1493.6102187301954</v>
      </c>
      <c r="D109" s="327">
        <f t="shared" si="8"/>
        <v>7.0271918817932741</v>
      </c>
      <c r="E109" s="327">
        <f t="shared" si="0"/>
        <v>25.783251844480631</v>
      </c>
      <c r="F109" s="327">
        <f t="shared" si="9"/>
        <v>25.410588537838041</v>
      </c>
      <c r="G109" s="327">
        <f t="shared" si="10"/>
        <v>945.53793472116695</v>
      </c>
      <c r="H109" s="312">
        <f t="shared" si="35"/>
        <v>0.08</v>
      </c>
      <c r="I109" s="327">
        <f t="shared" si="12"/>
        <v>5.117586226620733</v>
      </c>
      <c r="J109" s="327">
        <f t="shared" si="1"/>
        <v>1848</v>
      </c>
      <c r="K109" s="334">
        <f t="shared" si="13"/>
        <v>1</v>
      </c>
      <c r="L109" s="322">
        <f t="shared" si="14"/>
        <v>7.1071918817932742</v>
      </c>
      <c r="M109" s="322">
        <f t="shared" si="15"/>
        <v>7.0671918817932742</v>
      </c>
      <c r="N109" s="327">
        <f t="shared" si="16"/>
        <v>0.19622505770520959</v>
      </c>
      <c r="O109" s="327">
        <f t="shared" si="2"/>
        <v>0.85045978843696057</v>
      </c>
      <c r="P109" s="331">
        <f t="shared" si="4"/>
        <v>177.61562070106743</v>
      </c>
      <c r="Q109" s="327">
        <f t="shared" si="17"/>
        <v>-904.77150724690091</v>
      </c>
      <c r="R109" s="276">
        <f>IF(H109&gt;0, rate1(1,$L$52,$L$51,$L$54,L109,$L$53,$L$50,P109),"")</f>
        <v>2262.7941730857269</v>
      </c>
      <c r="S109" s="322">
        <f t="shared" si="18"/>
        <v>-0.4701539397319105</v>
      </c>
      <c r="T109" s="322">
        <f t="shared" si="19"/>
        <v>0.13347245645649336</v>
      </c>
      <c r="U109" s="327">
        <f t="shared" si="3"/>
        <v>7.0271918817932741</v>
      </c>
      <c r="V109" s="335">
        <f t="shared" si="20"/>
        <v>7.0271918817932741</v>
      </c>
      <c r="W109" s="327">
        <f t="shared" si="21"/>
        <v>1.4544584531783755E-3</v>
      </c>
      <c r="X109" s="327">
        <f t="shared" si="22"/>
        <v>-934.09988379090646</v>
      </c>
      <c r="Y109" s="327">
        <f t="shared" si="5"/>
        <v>175.61071719423987</v>
      </c>
      <c r="Z109" s="107">
        <f>IF(H109&gt;0, rate1(1,$L$52,$L$51,$L$54,U109,$L$53,$L$50,Y109),"")</f>
        <v>2259.1796599512304</v>
      </c>
      <c r="AA109" s="335">
        <f t="shared" si="23"/>
        <v>-0.4861706809309424</v>
      </c>
      <c r="AB109" s="335">
        <f t="shared" si="24"/>
        <v>9.7866178618683138E-4</v>
      </c>
      <c r="AC109" s="327">
        <f t="shared" si="25"/>
        <v>0.13347245645649336</v>
      </c>
      <c r="AD109" s="327">
        <f t="shared" si="26"/>
        <v>0.59937459850434971</v>
      </c>
      <c r="AE109" s="327">
        <f t="shared" si="27"/>
        <v>-0.1555777871563131</v>
      </c>
      <c r="AF109" s="327">
        <f t="shared" si="28"/>
        <v>1502.2022817091454</v>
      </c>
      <c r="AG109" s="327">
        <f t="shared" si="29"/>
        <v>1493.4767462737389</v>
      </c>
      <c r="AH109" s="327">
        <f t="shared" si="30"/>
        <v>7.1075659221120668</v>
      </c>
      <c r="AI109" s="327">
        <f t="shared" si="31"/>
        <v>58.985681527754529</v>
      </c>
      <c r="AJ109" s="327">
        <f t="shared" si="32"/>
        <v>0.5589771107659931</v>
      </c>
      <c r="AK109" s="336">
        <f t="shared" si="33"/>
        <v>0.55107946499755056</v>
      </c>
      <c r="AL109" s="42">
        <f t="shared" si="34"/>
        <v>3.6097573830407073</v>
      </c>
      <c r="BA109" s="8"/>
    </row>
    <row r="110" spans="1:53" x14ac:dyDescent="0.25">
      <c r="A110" s="115"/>
      <c r="B110" s="327">
        <f t="shared" si="6"/>
        <v>1502.2022817091454</v>
      </c>
      <c r="C110" s="327">
        <f t="shared" si="7"/>
        <v>1493.4767462737389</v>
      </c>
      <c r="D110" s="327">
        <f t="shared" si="8"/>
        <v>7.1075659221120668</v>
      </c>
      <c r="E110" s="327">
        <f t="shared" si="0"/>
        <v>26.546278413277857</v>
      </c>
      <c r="F110" s="327">
        <f t="shared" si="9"/>
        <v>26.164765128879246</v>
      </c>
      <c r="G110" s="327">
        <f t="shared" si="10"/>
        <v>1007.0091252154812</v>
      </c>
      <c r="H110" s="312">
        <f t="shared" si="35"/>
        <v>0.08</v>
      </c>
      <c r="I110" s="327">
        <f t="shared" si="12"/>
        <v>5.2353212612439162</v>
      </c>
      <c r="J110" s="327">
        <f t="shared" si="1"/>
        <v>1848</v>
      </c>
      <c r="K110" s="334">
        <f t="shared" si="13"/>
        <v>1</v>
      </c>
      <c r="L110" s="322">
        <f t="shared" si="14"/>
        <v>7.1875659221120669</v>
      </c>
      <c r="M110" s="322">
        <f t="shared" si="15"/>
        <v>7.1475659221120669</v>
      </c>
      <c r="N110" s="327">
        <f t="shared" si="16"/>
        <v>0.1984799001947728</v>
      </c>
      <c r="O110" s="327">
        <f t="shared" si="2"/>
        <v>0.85265190899754573</v>
      </c>
      <c r="P110" s="331">
        <f t="shared" si="4"/>
        <v>180.3077113624316</v>
      </c>
      <c r="Q110" s="327">
        <f t="shared" si="17"/>
        <v>-843.34552034733008</v>
      </c>
      <c r="R110" s="276">
        <f>IF(H110&gt;0, rate1(1,$L$52,$L$51,$L$54,L110,$L$53,$L$50,P110),"")</f>
        <v>2267.5386316093959</v>
      </c>
      <c r="S110" s="322">
        <f t="shared" si="18"/>
        <v>-0.43619338880972153</v>
      </c>
      <c r="T110" s="322">
        <f t="shared" si="19"/>
        <v>0.13819858922987216</v>
      </c>
      <c r="U110" s="327">
        <f t="shared" si="3"/>
        <v>7.1075659221120668</v>
      </c>
      <c r="V110" s="335">
        <f t="shared" si="20"/>
        <v>7.1075659221120668</v>
      </c>
      <c r="W110" s="327">
        <f t="shared" si="21"/>
        <v>1.4879196805637207E-3</v>
      </c>
      <c r="X110" s="327">
        <f t="shared" si="22"/>
        <v>-874.31584791064131</v>
      </c>
      <c r="Y110" s="327">
        <f t="shared" si="5"/>
        <v>178.29524239797411</v>
      </c>
      <c r="Z110" s="107">
        <f>IF(H110&gt;0, rate1(1,$L$52,$L$51,$L$54,U110,$L$53,$L$50,Y110),"")</f>
        <v>2264.0035485761287</v>
      </c>
      <c r="AA110" s="335">
        <f t="shared" si="23"/>
        <v>-0.45291789327926107</v>
      </c>
      <c r="AB110" s="335">
        <f t="shared" si="24"/>
        <v>1.024090684990781E-3</v>
      </c>
      <c r="AC110" s="327">
        <f t="shared" si="25"/>
        <v>0.13819858922987216</v>
      </c>
      <c r="AD110" s="327">
        <f t="shared" si="26"/>
        <v>0.57887711043802537</v>
      </c>
      <c r="AE110" s="327">
        <f t="shared" si="27"/>
        <v>-0.15089932027565395</v>
      </c>
      <c r="AF110" s="327">
        <f t="shared" si="28"/>
        <v>1502.2625630201103</v>
      </c>
      <c r="AG110" s="327">
        <f t="shared" si="29"/>
        <v>1493.338547684509</v>
      </c>
      <c r="AH110" s="327">
        <f t="shared" si="30"/>
        <v>7.1879493321350951</v>
      </c>
      <c r="AI110" s="327">
        <f t="shared" si="31"/>
        <v>60.946520294467959</v>
      </c>
      <c r="AJ110" s="327">
        <f t="shared" si="32"/>
        <v>0.57590669973667863</v>
      </c>
      <c r="AK110" s="336">
        <f t="shared" si="33"/>
        <v>0.60685266448742403</v>
      </c>
      <c r="AL110" s="42">
        <f t="shared" si="34"/>
        <v>3.7187629225039975</v>
      </c>
      <c r="BA110" s="8"/>
    </row>
    <row r="111" spans="1:53" x14ac:dyDescent="0.25">
      <c r="A111" s="115"/>
      <c r="B111" s="327">
        <f t="shared" si="6"/>
        <v>1502.2625630201103</v>
      </c>
      <c r="C111" s="327">
        <f t="shared" si="7"/>
        <v>1493.338547684509</v>
      </c>
      <c r="D111" s="327">
        <f t="shared" si="8"/>
        <v>7.1879493321350951</v>
      </c>
      <c r="E111" s="327">
        <f t="shared" si="0"/>
        <v>27.327798942757486</v>
      </c>
      <c r="F111" s="327">
        <f t="shared" si="9"/>
        <v>26.937038678017672</v>
      </c>
      <c r="G111" s="327">
        <f t="shared" si="10"/>
        <v>1071.9078875360326</v>
      </c>
      <c r="H111" s="312">
        <f t="shared" si="35"/>
        <v>0.08</v>
      </c>
      <c r="I111" s="327">
        <f t="shared" si="12"/>
        <v>5.3544092013607951</v>
      </c>
      <c r="J111" s="327">
        <f t="shared" si="1"/>
        <v>1848</v>
      </c>
      <c r="K111" s="334">
        <f t="shared" si="13"/>
        <v>1</v>
      </c>
      <c r="L111" s="322">
        <f t="shared" si="14"/>
        <v>7.2679493321350952</v>
      </c>
      <c r="M111" s="322">
        <f t="shared" si="15"/>
        <v>7.2279493321350952</v>
      </c>
      <c r="N111" s="327">
        <f t="shared" si="16"/>
        <v>0.20073538615106656</v>
      </c>
      <c r="O111" s="327">
        <f t="shared" si="2"/>
        <v>0.85477161101003685</v>
      </c>
      <c r="P111" s="331">
        <f t="shared" si="4"/>
        <v>183.01022000859862</v>
      </c>
      <c r="Q111" s="327">
        <f t="shared" si="17"/>
        <v>-778.48095174253626</v>
      </c>
      <c r="R111" s="276">
        <f>IF(H111&gt;0, rate1(1,$L$52,$L$51,$L$54,L111,$L$53,$L$50,P111),"")</f>
        <v>2272.1802304697203</v>
      </c>
      <c r="S111" s="322">
        <f t="shared" si="18"/>
        <v>-0.40082529775444808</v>
      </c>
      <c r="T111" s="322">
        <f t="shared" si="19"/>
        <v>0.1432979447707359</v>
      </c>
      <c r="U111" s="327">
        <f t="shared" si="3"/>
        <v>7.1879493321350951</v>
      </c>
      <c r="V111" s="335">
        <f t="shared" si="20"/>
        <v>7.1879493321350951</v>
      </c>
      <c r="W111" s="327">
        <f t="shared" si="21"/>
        <v>1.5217654143704351E-3</v>
      </c>
      <c r="X111" s="327">
        <f t="shared" si="22"/>
        <v>-811.17981701046733</v>
      </c>
      <c r="Y111" s="327">
        <f t="shared" si="5"/>
        <v>180.99024100040066</v>
      </c>
      <c r="Z111" s="107">
        <f>IF(H111&gt;0, rate1(1,$L$52,$L$51,$L$54,U111,$L$53,$L$50,Y111),"")</f>
        <v>2268.7221656393676</v>
      </c>
      <c r="AA111" s="335">
        <f t="shared" si="23"/>
        <v>-0.41829794642620682</v>
      </c>
      <c r="AB111" s="335">
        <f t="shared" si="24"/>
        <v>1.0729518562759984E-3</v>
      </c>
      <c r="AC111" s="327">
        <f t="shared" si="25"/>
        <v>0.1432979447707359</v>
      </c>
      <c r="AD111" s="327">
        <f t="shared" si="26"/>
        <v>0.55827737186316917</v>
      </c>
      <c r="AE111" s="327">
        <f t="shared" si="27"/>
        <v>-0.14635873687035664</v>
      </c>
      <c r="AF111" s="327">
        <f t="shared" si="28"/>
        <v>1502.3200004614907</v>
      </c>
      <c r="AG111" s="327">
        <f t="shared" si="29"/>
        <v>1493.1952497397383</v>
      </c>
      <c r="AH111" s="327">
        <f t="shared" si="30"/>
        <v>7.2683420572703126</v>
      </c>
      <c r="AI111" s="327">
        <f t="shared" si="31"/>
        <v>63.066275662962006</v>
      </c>
      <c r="AJ111" s="327">
        <f t="shared" si="32"/>
        <v>0.59342510964305695</v>
      </c>
      <c r="AK111" s="336">
        <f t="shared" si="33"/>
        <v>0.66822636657408374</v>
      </c>
      <c r="AL111" s="42">
        <f t="shared" si="34"/>
        <v>3.8313920920081745</v>
      </c>
      <c r="BA111" s="8"/>
    </row>
    <row r="112" spans="1:53" x14ac:dyDescent="0.25">
      <c r="A112" s="115"/>
      <c r="B112" s="327">
        <f t="shared" si="6"/>
        <v>1502.3200004614907</v>
      </c>
      <c r="C112" s="327">
        <f t="shared" si="7"/>
        <v>1493.1952497397383</v>
      </c>
      <c r="D112" s="327">
        <f t="shared" si="8"/>
        <v>7.2683420572703126</v>
      </c>
      <c r="E112" s="327">
        <f t="shared" si="0"/>
        <v>28.128714949589092</v>
      </c>
      <c r="F112" s="327">
        <f t="shared" si="9"/>
        <v>27.728256946173289</v>
      </c>
      <c r="G112" s="327">
        <f t="shared" si="10"/>
        <v>1140.4164617992028</v>
      </c>
      <c r="H112" s="312">
        <f t="shared" si="35"/>
        <v>0.08</v>
      </c>
      <c r="I112" s="327">
        <f t="shared" si="12"/>
        <v>5.4748504330514605</v>
      </c>
      <c r="J112" s="327">
        <f t="shared" si="1"/>
        <v>1848</v>
      </c>
      <c r="K112" s="334">
        <f t="shared" si="13"/>
        <v>1</v>
      </c>
      <c r="L112" s="322">
        <f t="shared" si="14"/>
        <v>7.3483420572703126</v>
      </c>
      <c r="M112" s="322">
        <f t="shared" si="15"/>
        <v>7.3083420572703126</v>
      </c>
      <c r="N112" s="327">
        <f t="shared" si="16"/>
        <v>0.20299151417498251</v>
      </c>
      <c r="O112" s="327">
        <f t="shared" si="2"/>
        <v>0.85680783602103361</v>
      </c>
      <c r="P112" s="331">
        <f t="shared" si="4"/>
        <v>185.72307352730351</v>
      </c>
      <c r="Q112" s="327">
        <f t="shared" si="17"/>
        <v>-709.99266648940352</v>
      </c>
      <c r="R112" s="276">
        <f>IF(H112&gt;0, rate1(1,$L$52,$L$51,$L$54,L112,$L$53,$L$50,P112),"")</f>
        <v>2276.7220577697785</v>
      </c>
      <c r="S112" s="322">
        <f t="shared" si="18"/>
        <v>-0.36396566663956365</v>
      </c>
      <c r="T112" s="322">
        <f t="shared" si="19"/>
        <v>0.14882450426710359</v>
      </c>
      <c r="U112" s="327">
        <f t="shared" si="3"/>
        <v>7.2683420572703126</v>
      </c>
      <c r="V112" s="335">
        <f t="shared" si="20"/>
        <v>7.2683420572703126</v>
      </c>
      <c r="W112" s="327">
        <f t="shared" si="21"/>
        <v>1.5559957643382916E-3</v>
      </c>
      <c r="X112" s="327">
        <f t="shared" si="22"/>
        <v>-744.51301824840493</v>
      </c>
      <c r="Y112" s="327">
        <f t="shared" si="5"/>
        <v>183.6956388775468</v>
      </c>
      <c r="Z112" s="107">
        <f>IF(H112&gt;0, rate1(1,$L$52,$L$51,$L$54,U112,$L$53,$L$50,Y112),"")</f>
        <v>2273.3386916162572</v>
      </c>
      <c r="AA112" s="335">
        <f t="shared" si="23"/>
        <v>-0.38222995803550397</v>
      </c>
      <c r="AB112" s="335">
        <f t="shared" si="24"/>
        <v>1.1257141080560521E-3</v>
      </c>
      <c r="AC112" s="327">
        <f t="shared" si="25"/>
        <v>0.14882450426710359</v>
      </c>
      <c r="AD112" s="327">
        <f t="shared" si="26"/>
        <v>0.53754588596794228</v>
      </c>
      <c r="AE112" s="327">
        <f t="shared" si="27"/>
        <v>-0.14193695803598769</v>
      </c>
      <c r="AF112" s="327">
        <f t="shared" si="28"/>
        <v>1502.3741674713986</v>
      </c>
      <c r="AG112" s="327">
        <f t="shared" si="29"/>
        <v>1493.0464252354711</v>
      </c>
      <c r="AH112" s="327">
        <f t="shared" si="30"/>
        <v>7.3487440447277921</v>
      </c>
      <c r="AI112" s="327">
        <f t="shared" si="31"/>
        <v>65.367884392919024</v>
      </c>
      <c r="AJ112" s="327">
        <f t="shared" si="32"/>
        <v>0.61158285530775669</v>
      </c>
      <c r="AK112" s="336">
        <f t="shared" si="33"/>
        <v>0.73582760489473442</v>
      </c>
      <c r="AL112" s="42">
        <f t="shared" si="34"/>
        <v>3.9479385694333282</v>
      </c>
      <c r="BA112" s="8"/>
    </row>
    <row r="113" spans="1:53" x14ac:dyDescent="0.25">
      <c r="A113" s="115"/>
      <c r="B113" s="327">
        <f t="shared" si="6"/>
        <v>1502.3741674713986</v>
      </c>
      <c r="C113" s="327">
        <f t="shared" si="7"/>
        <v>1493.0464252354711</v>
      </c>
      <c r="D113" s="327">
        <f t="shared" si="8"/>
        <v>7.3487440447277921</v>
      </c>
      <c r="E113" s="327">
        <f t="shared" si="0"/>
        <v>28.950056203107039</v>
      </c>
      <c r="F113" s="327">
        <f t="shared" si="9"/>
        <v>28.539385576348067</v>
      </c>
      <c r="G113" s="327">
        <f t="shared" si="10"/>
        <v>1212.730957873109</v>
      </c>
      <c r="H113" s="312">
        <f t="shared" si="35"/>
        <v>0.08</v>
      </c>
      <c r="I113" s="327">
        <f t="shared" si="12"/>
        <v>5.5966453415564503</v>
      </c>
      <c r="J113" s="327">
        <f t="shared" si="1"/>
        <v>1848</v>
      </c>
      <c r="K113" s="334">
        <f t="shared" si="13"/>
        <v>1</v>
      </c>
      <c r="L113" s="322">
        <f t="shared" si="14"/>
        <v>7.4287440447277922</v>
      </c>
      <c r="M113" s="322">
        <f t="shared" si="15"/>
        <v>7.3887440447277921</v>
      </c>
      <c r="N113" s="327">
        <f t="shared" si="16"/>
        <v>0.20524828291703301</v>
      </c>
      <c r="O113" s="327">
        <f t="shared" si="2"/>
        <v>0.85874799878183694</v>
      </c>
      <c r="P113" s="331">
        <f t="shared" si="4"/>
        <v>188.44620015889657</v>
      </c>
      <c r="Q113" s="327">
        <f t="shared" si="17"/>
        <v>-637.68100386836045</v>
      </c>
      <c r="R113" s="276">
        <f>IF(H113&gt;0, rate1(1,$L$52,$L$51,$L$54,L113,$L$53,$L$50,P113),"")</f>
        <v>2281.1670846065085</v>
      </c>
      <c r="S113" s="322">
        <f t="shared" si="18"/>
        <v>-0.32552222503285094</v>
      </c>
      <c r="T113" s="322">
        <f t="shared" si="19"/>
        <v>0.15484333573655942</v>
      </c>
      <c r="U113" s="327">
        <f t="shared" si="3"/>
        <v>7.3487440447277921</v>
      </c>
      <c r="V113" s="335">
        <f t="shared" si="20"/>
        <v>7.3487440447277921</v>
      </c>
      <c r="W113" s="327">
        <f t="shared" si="21"/>
        <v>1.5906108399619256E-3</v>
      </c>
      <c r="X113" s="327">
        <f t="shared" si="22"/>
        <v>-674.12310610945087</v>
      </c>
      <c r="Y113" s="327">
        <f t="shared" si="5"/>
        <v>186.41136328722615</v>
      </c>
      <c r="Z113" s="107">
        <f>IF(H113&gt;0, rate1(1,$L$52,$L$51,$L$54,U113,$L$53,$L$50,Y113),"")</f>
        <v>2277.8561857496911</v>
      </c>
      <c r="AA113" s="335">
        <f t="shared" si="23"/>
        <v>-0.34462531343984909</v>
      </c>
      <c r="AB113" s="335">
        <f t="shared" si="24"/>
        <v>1.1829398301990842E-3</v>
      </c>
      <c r="AC113" s="327">
        <f t="shared" si="25"/>
        <v>0.15484333573655942</v>
      </c>
      <c r="AD113" s="327">
        <f t="shared" si="26"/>
        <v>0.51665123086799747</v>
      </c>
      <c r="AE113" s="327">
        <f t="shared" si="27"/>
        <v>-0.13761519889424428</v>
      </c>
      <c r="AF113" s="327">
        <f t="shared" si="28"/>
        <v>1502.4245724185789</v>
      </c>
      <c r="AG113" s="327">
        <f t="shared" si="29"/>
        <v>1492.8915818997345</v>
      </c>
      <c r="AH113" s="327">
        <f t="shared" si="30"/>
        <v>7.4291552434422776</v>
      </c>
      <c r="AI113" s="327">
        <f t="shared" si="31"/>
        <v>67.878997896056887</v>
      </c>
      <c r="AJ113" s="327">
        <f t="shared" si="32"/>
        <v>0.63043813250110581</v>
      </c>
      <c r="AK113" s="336">
        <f t="shared" si="33"/>
        <v>0.81037421632940643</v>
      </c>
      <c r="AL113" s="42">
        <f t="shared" si="34"/>
        <v>4.0687384197914422</v>
      </c>
      <c r="BA113" s="8"/>
    </row>
    <row r="114" spans="1:53" x14ac:dyDescent="0.25">
      <c r="A114" s="115"/>
      <c r="B114" s="327">
        <f t="shared" si="6"/>
        <v>1502.4245724185789</v>
      </c>
      <c r="C114" s="327">
        <f t="shared" si="7"/>
        <v>1492.8915818997345</v>
      </c>
      <c r="D114" s="327">
        <f t="shared" si="8"/>
        <v>7.4291552434422776</v>
      </c>
      <c r="E114" s="327">
        <f t="shared" si="0"/>
        <v>29.793006866212437</v>
      </c>
      <c r="F114" s="327">
        <f t="shared" si="9"/>
        <v>29.371531534659738</v>
      </c>
      <c r="G114" s="327">
        <f t="shared" si="10"/>
        <v>1289.0635218083576</v>
      </c>
      <c r="H114" s="312">
        <f t="shared" si="35"/>
        <v>0.08</v>
      </c>
      <c r="I114" s="327">
        <f t="shared" si="12"/>
        <v>5.7197943113066225</v>
      </c>
      <c r="J114" s="327">
        <f t="shared" si="1"/>
        <v>1848</v>
      </c>
      <c r="K114" s="334">
        <f t="shared" si="13"/>
        <v>1</v>
      </c>
      <c r="L114" s="322">
        <f t="shared" si="14"/>
        <v>7.5091552434422777</v>
      </c>
      <c r="M114" s="322">
        <f t="shared" si="15"/>
        <v>7.4691552434422777</v>
      </c>
      <c r="N114" s="327">
        <f t="shared" si="16"/>
        <v>0.20750569107512007</v>
      </c>
      <c r="O114" s="327">
        <f t="shared" si="2"/>
        <v>0.86057769058149614</v>
      </c>
      <c r="P114" s="331">
        <f t="shared" si="4"/>
        <v>191.17952945712324</v>
      </c>
      <c r="Q114" s="327">
        <f t="shared" si="17"/>
        <v>-561.32943219577101</v>
      </c>
      <c r="R114" s="276">
        <f>IF(H114&gt;0, rate1(1,$L$52,$L$51,$L$54,L114,$L$53,$L$50,P114),"")</f>
        <v>2285.5181703673379</v>
      </c>
      <c r="S114" s="322">
        <f t="shared" si="18"/>
        <v>-0.2853928263528831</v>
      </c>
      <c r="T114" s="322">
        <f t="shared" si="19"/>
        <v>0.16143367756601501</v>
      </c>
      <c r="U114" s="327">
        <f t="shared" si="3"/>
        <v>7.4291552434422776</v>
      </c>
      <c r="V114" s="335">
        <f t="shared" si="20"/>
        <v>7.4291552434422776</v>
      </c>
      <c r="W114" s="327">
        <f t="shared" si="21"/>
        <v>1.6256107504943884E-3</v>
      </c>
      <c r="X114" s="327">
        <f t="shared" si="22"/>
        <v>-599.80204904549691</v>
      </c>
      <c r="Y114" s="327">
        <f t="shared" si="5"/>
        <v>189.13734282867497</v>
      </c>
      <c r="Z114" s="107">
        <f>IF(H114&gt;0, rate1(1,$L$52,$L$51,$L$54,U114,$L$53,$L$50,Y114),"")</f>
        <v>2282.2775915694378</v>
      </c>
      <c r="AA114" s="335">
        <f t="shared" si="23"/>
        <v>-0.3053861912621807</v>
      </c>
      <c r="AB114" s="335">
        <f t="shared" si="24"/>
        <v>1.2453102088682139E-3</v>
      </c>
      <c r="AC114" s="327">
        <f t="shared" si="25"/>
        <v>0.16143367756601501</v>
      </c>
      <c r="AD114" s="327">
        <f t="shared" si="26"/>
        <v>0.49555954622470666</v>
      </c>
      <c r="AE114" s="327">
        <f t="shared" si="27"/>
        <v>-0.13337475539591565</v>
      </c>
      <c r="AF114" s="327">
        <f t="shared" si="28"/>
        <v>1502.470644432088</v>
      </c>
      <c r="AG114" s="327">
        <f t="shared" si="29"/>
        <v>1492.7301482221685</v>
      </c>
      <c r="AH114" s="327">
        <f t="shared" si="30"/>
        <v>7.5095756039998101</v>
      </c>
      <c r="AI114" s="327">
        <f t="shared" si="31"/>
        <v>70.633294304577205</v>
      </c>
      <c r="AJ114" s="327">
        <f t="shared" si="32"/>
        <v>0.65005849203015509</v>
      </c>
      <c r="AK114" s="336">
        <f t="shared" si="33"/>
        <v>0.89269317846735829</v>
      </c>
      <c r="AL114" s="42">
        <f t="shared" si="34"/>
        <v>4.1941788079033557</v>
      </c>
      <c r="BA114" s="8"/>
    </row>
    <row r="115" spans="1:53" x14ac:dyDescent="0.25">
      <c r="A115" s="115"/>
      <c r="B115" s="327">
        <f t="shared" si="6"/>
        <v>1502.470644432088</v>
      </c>
      <c r="C115" s="327">
        <f t="shared" si="7"/>
        <v>1492.7301482221685</v>
      </c>
      <c r="D115" s="327">
        <f t="shared" si="8"/>
        <v>7.5095756039998101</v>
      </c>
      <c r="E115" s="327">
        <f t="shared" si="0"/>
        <v>30.65893885647893</v>
      </c>
      <c r="F115" s="327">
        <f t="shared" si="9"/>
        <v>30.225972861345682</v>
      </c>
      <c r="G115" s="327">
        <f t="shared" si="10"/>
        <v>1369.6450480403748</v>
      </c>
      <c r="H115" s="312">
        <f t="shared" si="35"/>
        <v>0.08</v>
      </c>
      <c r="I115" s="327">
        <f t="shared" si="12"/>
        <v>5.844297725951674</v>
      </c>
      <c r="J115" s="327">
        <f t="shared" si="1"/>
        <v>1848</v>
      </c>
      <c r="K115" s="334">
        <f t="shared" si="13"/>
        <v>1</v>
      </c>
      <c r="L115" s="322">
        <f t="shared" si="14"/>
        <v>7.5895756039998101</v>
      </c>
      <c r="M115" s="322">
        <f t="shared" si="15"/>
        <v>7.5495756039998101</v>
      </c>
      <c r="N115" s="327">
        <f t="shared" si="16"/>
        <v>0.20976373739257426</v>
      </c>
      <c r="O115" s="327">
        <f t="shared" si="2"/>
        <v>0.86228030474969797</v>
      </c>
      <c r="P115" s="331">
        <f t="shared" si="4"/>
        <v>193.92299225144717</v>
      </c>
      <c r="Q115" s="327">
        <f t="shared" si="17"/>
        <v>-480.70159633904132</v>
      </c>
      <c r="R115" s="276">
        <f>IF(H115&gt;0, rate1(1,$L$52,$L$51,$L$54,L115,$L$53,$L$50,P115),"")</f>
        <v>2289.7780677507876</v>
      </c>
      <c r="S115" s="322">
        <f t="shared" si="18"/>
        <v>-0.24346341338338381</v>
      </c>
      <c r="T115" s="322">
        <f t="shared" si="19"/>
        <v>0.16869313172779299</v>
      </c>
      <c r="U115" s="327">
        <f t="shared" si="3"/>
        <v>7.5095756039998101</v>
      </c>
      <c r="V115" s="335">
        <f t="shared" si="20"/>
        <v>7.5095756039998101</v>
      </c>
      <c r="W115" s="327">
        <f t="shared" si="21"/>
        <v>1.6609956049684627E-3</v>
      </c>
      <c r="X115" s="327">
        <f t="shared" si="22"/>
        <v>-521.32348415396586</v>
      </c>
      <c r="Y115" s="327">
        <f t="shared" si="5"/>
        <v>191.87350740378872</v>
      </c>
      <c r="Z115" s="107">
        <f>IF(H115&gt;0, rate1(1,$L$52,$L$51,$L$54,U115,$L$53,$L$50,Y115),"")</f>
        <v>2286.6057421222622</v>
      </c>
      <c r="AA115" s="335">
        <f t="shared" si="23"/>
        <v>-0.26440370276792979</v>
      </c>
      <c r="AB115" s="335">
        <f t="shared" si="24"/>
        <v>1.3136592382103486E-3</v>
      </c>
      <c r="AC115" s="327">
        <f t="shared" si="25"/>
        <v>0.16869313172779299</v>
      </c>
      <c r="AD115" s="327">
        <f t="shared" si="26"/>
        <v>0.47423388955212353</v>
      </c>
      <c r="AE115" s="327">
        <f t="shared" si="27"/>
        <v>-0.12919675756235602</v>
      </c>
      <c r="AF115" s="327">
        <f t="shared" si="28"/>
        <v>1502.5117150377528</v>
      </c>
      <c r="AG115" s="327">
        <f t="shared" si="29"/>
        <v>1492.5614550904406</v>
      </c>
      <c r="AH115" s="327">
        <f t="shared" si="30"/>
        <v>7.5900050785681037</v>
      </c>
      <c r="AI115" s="327">
        <f t="shared" si="31"/>
        <v>73.672262872837081</v>
      </c>
      <c r="AJ115" s="327">
        <f t="shared" si="32"/>
        <v>0.67052300949483201</v>
      </c>
      <c r="AK115" s="336">
        <f t="shared" si="33"/>
        <v>0.98374398158054277</v>
      </c>
      <c r="AL115" s="42">
        <f t="shared" si="34"/>
        <v>4.3247091357782148</v>
      </c>
      <c r="BA115" s="8"/>
    </row>
    <row r="116" spans="1:53" x14ac:dyDescent="0.25">
      <c r="A116" s="115"/>
      <c r="B116" s="327">
        <f t="shared" si="6"/>
        <v>1502.5117150377528</v>
      </c>
      <c r="C116" s="327">
        <f t="shared" si="7"/>
        <v>1492.5614550904406</v>
      </c>
      <c r="D116" s="327">
        <f t="shared" si="8"/>
        <v>7.5900050785681037</v>
      </c>
      <c r="E116" s="327">
        <f t="shared" si="0"/>
        <v>31.549455016912766</v>
      </c>
      <c r="F116" s="327">
        <f t="shared" si="9"/>
        <v>31.10419693669585</v>
      </c>
      <c r="G116" s="327">
        <f t="shared" si="10"/>
        <v>1454.728621289418</v>
      </c>
      <c r="H116" s="312">
        <f t="shared" si="35"/>
        <v>0.08</v>
      </c>
      <c r="I116" s="327">
        <f t="shared" si="12"/>
        <v>5.9701559683872798</v>
      </c>
      <c r="J116" s="327">
        <f t="shared" si="1"/>
        <v>1848</v>
      </c>
      <c r="K116" s="334">
        <f t="shared" si="13"/>
        <v>1</v>
      </c>
      <c r="L116" s="322">
        <f t="shared" si="14"/>
        <v>7.6700050785681038</v>
      </c>
      <c r="M116" s="322">
        <f t="shared" si="15"/>
        <v>7.6300050785681037</v>
      </c>
      <c r="N116" s="327">
        <f t="shared" si="16"/>
        <v>0.2120224206562078</v>
      </c>
      <c r="O116" s="327">
        <f t="shared" si="2"/>
        <v>0.86383655800153436</v>
      </c>
      <c r="P116" s="331">
        <f t="shared" si="4"/>
        <v>196.67652061083623</v>
      </c>
      <c r="Q116" s="327">
        <f t="shared" si="17"/>
        <v>-395.5375476546692</v>
      </c>
      <c r="R116" s="276">
        <f>IF(H116&gt;0, rate1(1,$L$52,$L$51,$L$54,L116,$L$53,$L$50,P116),"")</f>
        <v>2293.9494275271381</v>
      </c>
      <c r="S116" s="322">
        <f t="shared" si="18"/>
        <v>-0.19960540526796458</v>
      </c>
      <c r="T116" s="322">
        <f t="shared" si="19"/>
        <v>0.17674346891496942</v>
      </c>
      <c r="U116" s="327">
        <f t="shared" si="3"/>
        <v>7.5900050785681037</v>
      </c>
      <c r="V116" s="335">
        <f t="shared" si="20"/>
        <v>7.5900050785681037</v>
      </c>
      <c r="W116" s="327">
        <f t="shared" si="21"/>
        <v>1.6967655121931102E-3</v>
      </c>
      <c r="X116" s="327">
        <f t="shared" si="22"/>
        <v>-438.43936068464791</v>
      </c>
      <c r="Y116" s="327">
        <f t="shared" si="5"/>
        <v>194.61978817987494</v>
      </c>
      <c r="Z116" s="107">
        <f>IF(H116&gt;0, rate1(1,$L$52,$L$51,$L$54,U116,$L$53,$L$50,Y116),"")</f>
        <v>2290.8433649298172</v>
      </c>
      <c r="AA116" s="335">
        <f t="shared" si="23"/>
        <v>-0.2215555127196232</v>
      </c>
      <c r="AB116" s="335">
        <f t="shared" si="24"/>
        <v>1.3890203879605096E-3</v>
      </c>
      <c r="AC116" s="327">
        <f t="shared" si="25"/>
        <v>0.17674346891496942</v>
      </c>
      <c r="AD116" s="327">
        <f t="shared" si="26"/>
        <v>0.45263341548698288</v>
      </c>
      <c r="AE116" s="327">
        <f t="shared" si="27"/>
        <v>-0.12506187256907994</v>
      </c>
      <c r="AF116" s="327">
        <f t="shared" si="28"/>
        <v>1502.546993989494</v>
      </c>
      <c r="AG116" s="327">
        <f t="shared" si="29"/>
        <v>1492.3847116215256</v>
      </c>
      <c r="AH116" s="327">
        <f t="shared" si="30"/>
        <v>7.6704436208305156</v>
      </c>
      <c r="AI116" s="327">
        <f t="shared" si="31"/>
        <v>77.04767454507386</v>
      </c>
      <c r="AJ116" s="327">
        <f t="shared" si="32"/>
        <v>0.69192514131290805</v>
      </c>
      <c r="AK116" s="336">
        <f t="shared" si="33"/>
        <v>1.0846488316022529</v>
      </c>
      <c r="AL116" s="42">
        <f t="shared" si="34"/>
        <v>4.4608554775672173</v>
      </c>
      <c r="BA116" s="8"/>
    </row>
    <row r="117" spans="1:53" x14ac:dyDescent="0.25">
      <c r="A117" s="115"/>
      <c r="B117" s="327">
        <f t="shared" si="6"/>
        <v>1502.546993989494</v>
      </c>
      <c r="C117" s="327">
        <f t="shared" si="7"/>
        <v>1492.3847116215256</v>
      </c>
      <c r="D117" s="327">
        <f t="shared" si="8"/>
        <v>7.6704436208305156</v>
      </c>
      <c r="E117" s="327">
        <f t="shared" si="0"/>
        <v>32.466445854321066</v>
      </c>
      <c r="F117" s="327">
        <f t="shared" si="9"/>
        <v>32.00795043561692</v>
      </c>
      <c r="G117" s="327">
        <f t="shared" si="10"/>
        <v>1544.5939509846951</v>
      </c>
      <c r="H117" s="312">
        <f t="shared" si="35"/>
        <v>0.08</v>
      </c>
      <c r="I117" s="327">
        <f t="shared" si="12"/>
        <v>6.0973694207810238</v>
      </c>
      <c r="J117" s="327">
        <f t="shared" si="1"/>
        <v>1848</v>
      </c>
      <c r="K117" s="334">
        <f t="shared" si="13"/>
        <v>1</v>
      </c>
      <c r="L117" s="322">
        <f t="shared" si="14"/>
        <v>7.7504436208305156</v>
      </c>
      <c r="M117" s="322">
        <f t="shared" si="15"/>
        <v>7.7104436208305156</v>
      </c>
      <c r="N117" s="327">
        <f t="shared" si="16"/>
        <v>0.21428173969457021</v>
      </c>
      <c r="O117" s="327">
        <f t="shared" si="2"/>
        <v>0.86522387014078317</v>
      </c>
      <c r="P117" s="331">
        <f t="shared" si="4"/>
        <v>199.4400478089442</v>
      </c>
      <c r="Q117" s="327">
        <f t="shared" si="17"/>
        <v>-305.54885334476694</v>
      </c>
      <c r="R117" s="276">
        <f>IF(H117&gt;0, rate1(1,$L$52,$L$51,$L$54,L117,$L$53,$L$50,P117),"")</f>
        <v>2298.0348030542464</v>
      </c>
      <c r="S117" s="322">
        <f t="shared" si="18"/>
        <v>-0.15367229037449204</v>
      </c>
      <c r="T117" s="322">
        <f t="shared" si="19"/>
        <v>0.18573882850650117</v>
      </c>
      <c r="U117" s="327">
        <f t="shared" si="3"/>
        <v>7.6704436208305156</v>
      </c>
      <c r="V117" s="335">
        <f t="shared" si="20"/>
        <v>7.6704436208305156</v>
      </c>
      <c r="W117" s="327">
        <f t="shared" si="21"/>
        <v>1.7329205808245263E-3</v>
      </c>
      <c r="X117" s="327">
        <f t="shared" si="22"/>
        <v>-350.87561630444134</v>
      </c>
      <c r="Y117" s="327">
        <f t="shared" si="5"/>
        <v>197.37611755385052</v>
      </c>
      <c r="Z117" s="107">
        <f>IF(H117&gt;0, rate1(1,$L$52,$L$51,$L$54,U117,$L$53,$L$50,Y117),"")</f>
        <v>2294.9930866901932</v>
      </c>
      <c r="AA117" s="335">
        <f t="shared" si="23"/>
        <v>-0.17670275243939448</v>
      </c>
      <c r="AB117" s="335">
        <f t="shared" si="24"/>
        <v>1.4726918733146922E-3</v>
      </c>
      <c r="AC117" s="327">
        <f t="shared" si="25"/>
        <v>0.18573882850650117</v>
      </c>
      <c r="AD117" s="327">
        <f t="shared" si="26"/>
        <v>0.43071231063137599</v>
      </c>
      <c r="AE117" s="327">
        <f t="shared" si="27"/>
        <v>-0.12094993334319147</v>
      </c>
      <c r="AF117" s="327">
        <f t="shared" si="28"/>
        <v>1502.575536900682</v>
      </c>
      <c r="AG117" s="327">
        <f t="shared" si="29"/>
        <v>1492.198972793019</v>
      </c>
      <c r="AH117" s="327">
        <f t="shared" si="30"/>
        <v>7.7508911859237335</v>
      </c>
      <c r="AI117" s="327">
        <f t="shared" si="31"/>
        <v>80.825072039658181</v>
      </c>
      <c r="AJ117" s="327">
        <f t="shared" si="32"/>
        <v>0.7143765502128131</v>
      </c>
      <c r="AK117" s="336">
        <f t="shared" si="33"/>
        <v>1.196732288966764</v>
      </c>
      <c r="AL117" s="42">
        <f t="shared" si="34"/>
        <v>4.6032395801265142</v>
      </c>
      <c r="BA117" s="8"/>
    </row>
    <row r="118" spans="1:53" x14ac:dyDescent="0.25">
      <c r="A118" s="115"/>
      <c r="B118" s="327">
        <f t="shared" si="6"/>
        <v>1502.575536900682</v>
      </c>
      <c r="C118" s="327">
        <f t="shared" si="7"/>
        <v>1492.198972793019</v>
      </c>
      <c r="D118" s="327">
        <f t="shared" si="8"/>
        <v>7.7508911859237335</v>
      </c>
      <c r="E118" s="327">
        <f t="shared" si="0"/>
        <v>33.412165423156992</v>
      </c>
      <c r="F118" s="327">
        <f t="shared" si="9"/>
        <v>32.939305638739029</v>
      </c>
      <c r="G118" s="327">
        <f t="shared" si="10"/>
        <v>1639.5531819995288</v>
      </c>
      <c r="H118" s="312">
        <f t="shared" si="35"/>
        <v>0.08</v>
      </c>
      <c r="I118" s="327">
        <f t="shared" si="12"/>
        <v>6.2259384645977658</v>
      </c>
      <c r="J118" s="327">
        <f t="shared" si="1"/>
        <v>1848</v>
      </c>
      <c r="K118" s="334">
        <f t="shared" si="13"/>
        <v>1</v>
      </c>
      <c r="L118" s="322">
        <f t="shared" si="14"/>
        <v>7.8308911859237336</v>
      </c>
      <c r="M118" s="322">
        <f t="shared" si="15"/>
        <v>7.7908911859237335</v>
      </c>
      <c r="N118" s="327">
        <f t="shared" si="16"/>
        <v>0.21654169337611506</v>
      </c>
      <c r="O118" s="327">
        <f t="shared" si="2"/>
        <v>0.86641554767312967</v>
      </c>
      <c r="P118" s="331">
        <f t="shared" si="4"/>
        <v>202.21350829063039</v>
      </c>
      <c r="Q118" s="327">
        <f t="shared" si="17"/>
        <v>-210.41213866282828</v>
      </c>
      <c r="R118" s="276">
        <f>IF(H118&gt;0, rate1(1,$L$52,$L$51,$L$54,L118,$L$53,$L$50,P118),"")</f>
        <v>2302.0366545626525</v>
      </c>
      <c r="S118" s="322">
        <f t="shared" si="18"/>
        <v>-0.10549510752629057</v>
      </c>
      <c r="T118" s="322">
        <f t="shared" si="19"/>
        <v>0.19587756825144095</v>
      </c>
      <c r="U118" s="327">
        <f t="shared" si="3"/>
        <v>7.7508911859237335</v>
      </c>
      <c r="V118" s="335">
        <f t="shared" si="20"/>
        <v>7.7508911859237335</v>
      </c>
      <c r="W118" s="327">
        <f t="shared" si="21"/>
        <v>1.7694609192417943E-3</v>
      </c>
      <c r="X118" s="327">
        <f t="shared" si="22"/>
        <v>-258.32651222393974</v>
      </c>
      <c r="Y118" s="327">
        <f t="shared" si="5"/>
        <v>200.14242911782503</v>
      </c>
      <c r="Z118" s="107">
        <f>IF(H118&gt;0, rate1(1,$L$52,$L$51,$L$54,U118,$L$53,$L$50,Y118),"")</f>
        <v>2299.0574377379803</v>
      </c>
      <c r="AA118" s="335">
        <f t="shared" si="23"/>
        <v>-0.12968594825530377</v>
      </c>
      <c r="AB118" s="335">
        <f t="shared" si="24"/>
        <v>1.5663299361867464E-3</v>
      </c>
      <c r="AC118" s="327">
        <f t="shared" si="25"/>
        <v>0.19587756825144095</v>
      </c>
      <c r="AD118" s="327">
        <f t="shared" si="26"/>
        <v>0.40841838457636404</v>
      </c>
      <c r="AE118" s="327">
        <f t="shared" si="27"/>
        <v>-0.116839455769784</v>
      </c>
      <c r="AF118" s="327">
        <f t="shared" si="28"/>
        <v>1502.5962010258067</v>
      </c>
      <c r="AG118" s="327">
        <f t="shared" si="29"/>
        <v>1492.0030952247675</v>
      </c>
      <c r="AH118" s="327">
        <f t="shared" si="30"/>
        <v>7.8313477303783738</v>
      </c>
      <c r="AI118" s="327">
        <f t="shared" si="31"/>
        <v>85.088813795909928</v>
      </c>
      <c r="AJ118" s="327">
        <f t="shared" si="32"/>
        <v>0.73801233182278803</v>
      </c>
      <c r="AK118" s="336">
        <f t="shared" si="33"/>
        <v>1.3215742063271223</v>
      </c>
      <c r="AL118" s="42">
        <f t="shared" si="34"/>
        <v>4.7526043132558025</v>
      </c>
      <c r="BA118" s="8"/>
    </row>
    <row r="119" spans="1:53" x14ac:dyDescent="0.25">
      <c r="A119" s="115"/>
      <c r="B119" s="327">
        <f t="shared" si="6"/>
        <v>1502.5962010258067</v>
      </c>
      <c r="C119" s="327">
        <f t="shared" si="7"/>
        <v>1492.0030952247675</v>
      </c>
      <c r="D119" s="327">
        <f t="shared" si="8"/>
        <v>7.8313477303783738</v>
      </c>
      <c r="E119" s="327">
        <f t="shared" si="0"/>
        <v>34.389334847126406</v>
      </c>
      <c r="F119" s="327">
        <f t="shared" si="9"/>
        <v>33.900750135141699</v>
      </c>
      <c r="G119" s="327">
        <f t="shared" si="10"/>
        <v>1739.9586559551767</v>
      </c>
      <c r="H119" s="312">
        <f t="shared" si="35"/>
        <v>0.08</v>
      </c>
      <c r="I119" s="327">
        <f t="shared" si="12"/>
        <v>6.3558634806235199</v>
      </c>
      <c r="J119" s="327">
        <f t="shared" si="1"/>
        <v>1848</v>
      </c>
      <c r="K119" s="334">
        <f t="shared" si="13"/>
        <v>1</v>
      </c>
      <c r="L119" s="322">
        <f t="shared" si="14"/>
        <v>7.9113477303783739</v>
      </c>
      <c r="M119" s="322">
        <f t="shared" si="15"/>
        <v>7.8713477303783739</v>
      </c>
      <c r="N119" s="327">
        <f t="shared" si="16"/>
        <v>0.21880228060766171</v>
      </c>
      <c r="O119" s="327">
        <f t="shared" si="2"/>
        <v>0.86737969043507845</v>
      </c>
      <c r="P119" s="331">
        <f t="shared" si="4"/>
        <v>204.99683763973485</v>
      </c>
      <c r="Q119" s="327">
        <f t="shared" si="17"/>
        <v>-109.76038684367131</v>
      </c>
      <c r="R119" s="276">
        <f>IF(H119&gt;0, rate1(1,$L$52,$L$51,$L$54,L119,$L$53,$L$50,P119),"")</f>
        <v>2305.9573532231661</v>
      </c>
      <c r="S119" s="322">
        <f t="shared" si="18"/>
        <v>-5.4876336295992249E-2</v>
      </c>
      <c r="T119" s="322">
        <f t="shared" si="19"/>
        <v>0.20741983972827222</v>
      </c>
      <c r="U119" s="327">
        <f t="shared" si="3"/>
        <v>7.8313477303783738</v>
      </c>
      <c r="V119" s="335">
        <f t="shared" si="20"/>
        <v>7.8313477303783738</v>
      </c>
      <c r="W119" s="327">
        <f t="shared" si="21"/>
        <v>1.806386635671231E-3</v>
      </c>
      <c r="X119" s="327">
        <f t="shared" si="22"/>
        <v>-160.447067765886</v>
      </c>
      <c r="Y119" s="327">
        <f t="shared" si="5"/>
        <v>202.91865762598368</v>
      </c>
      <c r="Z119" s="107">
        <f>IF(H119&gt;0, rate1(1,$L$52,$L$51,$L$54,U119,$L$53,$L$50,Y119),"")</f>
        <v>2303.0388562767394</v>
      </c>
      <c r="AA119" s="335">
        <f t="shared" si="23"/>
        <v>-8.0319550676279966E-2</v>
      </c>
      <c r="AB119" s="335">
        <f t="shared" si="24"/>
        <v>1.6720854811342006E-3</v>
      </c>
      <c r="AC119" s="327">
        <f t="shared" si="25"/>
        <v>0.20741983972827222</v>
      </c>
      <c r="AD119" s="327">
        <f t="shared" si="26"/>
        <v>0.38569116678907384</v>
      </c>
      <c r="AE119" s="327">
        <f t="shared" si="27"/>
        <v>-0.11270698664363067</v>
      </c>
      <c r="AF119" s="327">
        <f t="shared" si="28"/>
        <v>1502.607583466686</v>
      </c>
      <c r="AG119" s="327">
        <f t="shared" si="29"/>
        <v>1491.7956753850392</v>
      </c>
      <c r="AH119" s="327">
        <f t="shared" si="30"/>
        <v>7.9118132120624143</v>
      </c>
      <c r="AI119" s="327">
        <f t="shared" si="31"/>
        <v>89.949555848615262</v>
      </c>
      <c r="AJ119" s="327">
        <f t="shared" si="32"/>
        <v>0.76299831955851449</v>
      </c>
      <c r="AK119" s="336">
        <f t="shared" si="33"/>
        <v>1.4610818417387719</v>
      </c>
      <c r="AL119" s="42">
        <f t="shared" si="34"/>
        <v>4.9098484411506442</v>
      </c>
      <c r="BA119" s="8"/>
    </row>
    <row r="120" spans="1:53" x14ac:dyDescent="0.25">
      <c r="A120" s="115"/>
      <c r="B120" s="327">
        <f t="shared" si="6"/>
        <v>1502.607583466686</v>
      </c>
      <c r="C120" s="327">
        <f t="shared" si="7"/>
        <v>1491.7956753850392</v>
      </c>
      <c r="D120" s="327">
        <f t="shared" si="8"/>
        <v>7.9118132120624143</v>
      </c>
      <c r="E120" s="327">
        <f t="shared" si="0"/>
        <v>35.401286787865644</v>
      </c>
      <c r="F120" s="327">
        <f t="shared" si="9"/>
        <v>34.895310817496025</v>
      </c>
      <c r="G120" s="327">
        <f t="shared" si="10"/>
        <v>1846.2135065239911</v>
      </c>
      <c r="H120" s="312">
        <f t="shared" si="35"/>
        <v>0.08</v>
      </c>
      <c r="I120" s="327">
        <f t="shared" si="12"/>
        <v>6.4871448489881001</v>
      </c>
      <c r="J120" s="327">
        <f t="shared" si="1"/>
        <v>1848</v>
      </c>
      <c r="K120" s="334">
        <f t="shared" si="13"/>
        <v>1</v>
      </c>
      <c r="L120" s="322">
        <f t="shared" si="14"/>
        <v>7.9918132120624144</v>
      </c>
      <c r="M120" s="322">
        <f t="shared" si="15"/>
        <v>7.9518132120624143</v>
      </c>
      <c r="N120" s="327">
        <f t="shared" si="16"/>
        <v>0.22106350033281785</v>
      </c>
      <c r="O120" s="327">
        <f t="shared" si="2"/>
        <v>0.86807769795574952</v>
      </c>
      <c r="P120" s="331">
        <f t="shared" si="4"/>
        <v>207.78997254805188</v>
      </c>
      <c r="Q120" s="327">
        <f t="shared" si="17"/>
        <v>-3.1709460716645026</v>
      </c>
      <c r="R120" s="276">
        <f>IF(H120&gt;0, rate1(1,$L$52,$L$51,$L$54,L120,$L$53,$L$50,P120),"")</f>
        <v>2309.7991850093381</v>
      </c>
      <c r="S120" s="322">
        <f t="shared" si="18"/>
        <v>-1.581452068015942E-3</v>
      </c>
      <c r="T120" s="322">
        <f t="shared" si="19"/>
        <v>0.22071445100783052</v>
      </c>
      <c r="U120" s="327">
        <f t="shared" si="3"/>
        <v>7.9118132120624143</v>
      </c>
      <c r="V120" s="335">
        <f t="shared" si="20"/>
        <v>7.9118132120624143</v>
      </c>
      <c r="W120" s="327">
        <f t="shared" si="21"/>
        <v>1.8436978381650704E-3</v>
      </c>
      <c r="X120" s="327">
        <f t="shared" si="22"/>
        <v>-56.84273382874153</v>
      </c>
      <c r="Y120" s="327">
        <f t="shared" si="5"/>
        <v>205.70473896270971</v>
      </c>
      <c r="Z120" s="107">
        <f>IF(H120&gt;0, rate1(1,$L$52,$L$51,$L$54,U120,$L$53,$L$50,Y120),"")</f>
        <v>2306.9396923969102</v>
      </c>
      <c r="AA120" s="335">
        <f t="shared" si="23"/>
        <v>-2.8384426038602448E-2</v>
      </c>
      <c r="AB120" s="335">
        <f t="shared" si="24"/>
        <v>1.7928099565520488E-3</v>
      </c>
      <c r="AC120" s="327">
        <f t="shared" si="25"/>
        <v>0.22071445100783052</v>
      </c>
      <c r="AD120" s="327">
        <f t="shared" si="26"/>
        <v>0.36245927547880297</v>
      </c>
      <c r="AE120" s="327">
        <f t="shared" si="27"/>
        <v>-0.10852618822158652</v>
      </c>
      <c r="AF120" s="327">
        <f t="shared" si="28"/>
        <v>1502.607932516011</v>
      </c>
      <c r="AG120" s="327">
        <f t="shared" si="29"/>
        <v>1491.5749609340314</v>
      </c>
      <c r="AH120" s="327">
        <f t="shared" si="30"/>
        <v>7.9922875901280221</v>
      </c>
      <c r="AI120" s="327">
        <f t="shared" si="31"/>
        <v>95.555688321423588</v>
      </c>
      <c r="AJ120" s="327">
        <f t="shared" si="32"/>
        <v>0.78954156631446548</v>
      </c>
      <c r="AK120" s="336">
        <f t="shared" si="33"/>
        <v>1.6175903500368936</v>
      </c>
      <c r="AL120" s="42">
        <f t="shared" si="34"/>
        <v>5.0760752203588853</v>
      </c>
      <c r="BA120" s="8"/>
    </row>
    <row r="121" spans="1:53" x14ac:dyDescent="0.25">
      <c r="A121" s="115"/>
      <c r="B121" s="327">
        <f t="shared" si="6"/>
        <v>1502.607932516011</v>
      </c>
      <c r="C121" s="327">
        <f t="shared" si="7"/>
        <v>1491.5749609340314</v>
      </c>
      <c r="D121" s="327">
        <f t="shared" si="8"/>
        <v>7.9922875901280221</v>
      </c>
      <c r="E121" s="327">
        <f t="shared" si="0"/>
        <v>36.452172425251192</v>
      </c>
      <c r="F121" s="327">
        <f t="shared" si="9"/>
        <v>35.926729606558418</v>
      </c>
      <c r="G121" s="327">
        <f t="shared" si="10"/>
        <v>1958.7864917586237</v>
      </c>
      <c r="H121" s="312">
        <f t="shared" si="35"/>
        <v>0.08</v>
      </c>
      <c r="I121" s="327">
        <f t="shared" si="12"/>
        <v>6.6197829491877656</v>
      </c>
      <c r="J121" s="327">
        <f t="shared" si="1"/>
        <v>1848</v>
      </c>
      <c r="K121" s="334">
        <f t="shared" si="13"/>
        <v>1</v>
      </c>
      <c r="L121" s="322">
        <f t="shared" si="14"/>
        <v>8.0722875901280222</v>
      </c>
      <c r="M121" s="322">
        <f t="shared" si="15"/>
        <v>8.0322875901280213</v>
      </c>
      <c r="N121" s="327">
        <f t="shared" si="16"/>
        <v>0.22332535153044475</v>
      </c>
      <c r="O121" s="327">
        <f t="shared" si="2"/>
        <v>0.8684621821422015</v>
      </c>
      <c r="P121" s="331">
        <f t="shared" si="4"/>
        <v>210.5928507854706</v>
      </c>
      <c r="Q121" s="327">
        <f t="shared" si="17"/>
        <v>109.8514470962225</v>
      </c>
      <c r="R121" s="276">
        <f>IF(H121&gt;0, rate1(1,$L$52,$L$51,$L$54,L121,$L$53,$L$50,P121),"")</f>
        <v>2313.5643543664746</v>
      </c>
      <c r="S121" s="322">
        <f t="shared" si="18"/>
        <v>5.4673048018555236E-2</v>
      </c>
      <c r="T121" s="322">
        <f t="shared" si="19"/>
        <v>0.23624138829676386</v>
      </c>
      <c r="U121" s="327">
        <f t="shared" si="3"/>
        <v>7.9922875901280221</v>
      </c>
      <c r="V121" s="335">
        <f t="shared" si="20"/>
        <v>7.9922875901280221</v>
      </c>
      <c r="W121" s="327">
        <f t="shared" si="21"/>
        <v>1.8813946345730415E-3</v>
      </c>
      <c r="X121" s="327">
        <f t="shared" si="22"/>
        <v>52.94506134633184</v>
      </c>
      <c r="Y121" s="327">
        <f t="shared" si="5"/>
        <v>208.50061011191463</v>
      </c>
      <c r="Z121" s="107">
        <f>IF(H121&gt;0, rate1(1,$L$52,$L$51,$L$54,U121,$L$53,$L$50,Y121),"")</f>
        <v>2310.7622118914201</v>
      </c>
      <c r="AA121" s="335">
        <f t="shared" si="23"/>
        <v>2.6382702939184908E-2</v>
      </c>
      <c r="AB121" s="335">
        <f t="shared" si="24"/>
        <v>1.9323759348284502E-3</v>
      </c>
      <c r="AC121" s="327">
        <f t="shared" si="25"/>
        <v>0.23624138829676386</v>
      </c>
      <c r="AD121" s="327">
        <f t="shared" si="26"/>
        <v>0.33863668249148993</v>
      </c>
      <c r="AE121" s="327">
        <f t="shared" si="27"/>
        <v>-0.10426649990321514</v>
      </c>
      <c r="AF121" s="327">
        <f t="shared" si="28"/>
        <v>1502.5950164792448</v>
      </c>
      <c r="AG121" s="327">
        <f t="shared" si="29"/>
        <v>1491.3387195457346</v>
      </c>
      <c r="AH121" s="327">
        <f t="shared" si="30"/>
        <v>8.0727708249604824</v>
      </c>
      <c r="AI121" s="327">
        <f t="shared" si="31"/>
        <v>102.11144023329062</v>
      </c>
      <c r="AJ121" s="327">
        <f t="shared" si="32"/>
        <v>0.81790585526815729</v>
      </c>
      <c r="AK121" s="336">
        <f t="shared" si="33"/>
        <v>1.7940065524411026</v>
      </c>
      <c r="AL121" s="42">
        <f t="shared" si="34"/>
        <v>5.2526621323768756</v>
      </c>
      <c r="BA121" s="8"/>
    </row>
    <row r="122" spans="1:53" x14ac:dyDescent="0.25">
      <c r="A122" s="115"/>
      <c r="B122" s="327">
        <f t="shared" si="6"/>
        <v>1502.5950164792448</v>
      </c>
      <c r="C122" s="327">
        <f t="shared" si="7"/>
        <v>1491.3387195457346</v>
      </c>
      <c r="D122" s="327">
        <f t="shared" si="8"/>
        <v>8.0727708249604824</v>
      </c>
      <c r="E122" s="327">
        <f t="shared" si="0"/>
        <v>37.547267267813069</v>
      </c>
      <c r="F122" s="327">
        <f t="shared" si="9"/>
        <v>36.99971984653213</v>
      </c>
      <c r="G122" s="327">
        <f t="shared" si="10"/>
        <v>2078.233375525981</v>
      </c>
      <c r="H122" s="312">
        <f t="shared" si="35"/>
        <v>0.08</v>
      </c>
      <c r="I122" s="327">
        <f t="shared" si="12"/>
        <v>6.7537781601060942</v>
      </c>
      <c r="J122" s="327">
        <f t="shared" si="1"/>
        <v>1848</v>
      </c>
      <c r="K122" s="334">
        <f t="shared" si="13"/>
        <v>1</v>
      </c>
      <c r="L122" s="322">
        <f t="shared" si="14"/>
        <v>8.1527708249604824</v>
      </c>
      <c r="M122" s="322">
        <f t="shared" si="15"/>
        <v>8.1127708249604815</v>
      </c>
      <c r="N122" s="327">
        <f t="shared" si="16"/>
        <v>0.22558783321338538</v>
      </c>
      <c r="O122" s="327">
        <f t="shared" si="2"/>
        <v>0.86847397257864434</v>
      </c>
      <c r="P122" s="331">
        <f t="shared" si="4"/>
        <v>213.40541117119173</v>
      </c>
      <c r="Q122" s="327">
        <f t="shared" si="17"/>
        <v>229.89945549675076</v>
      </c>
      <c r="R122" s="276">
        <f>IF(H122&gt;0, rate1(1,$L$52,$L$51,$L$54,L122,$L$53,$L$50,P122),"")</f>
        <v>2317.2549876980306</v>
      </c>
      <c r="S122" s="322">
        <f t="shared" si="18"/>
        <v>0.11423713678653916</v>
      </c>
      <c r="T122" s="322">
        <f t="shared" si="19"/>
        <v>0.25468197254847064</v>
      </c>
      <c r="U122" s="327">
        <f t="shared" si="3"/>
        <v>8.0727708249604824</v>
      </c>
      <c r="V122" s="335">
        <f t="shared" si="20"/>
        <v>8.0727708249604824</v>
      </c>
      <c r="W122" s="327">
        <f t="shared" si="21"/>
        <v>1.9194771325565796E-3</v>
      </c>
      <c r="X122" s="327">
        <f t="shared" si="22"/>
        <v>169.45974599116835</v>
      </c>
      <c r="Y122" s="327">
        <f t="shared" si="5"/>
        <v>211.3062091274802</v>
      </c>
      <c r="Z122" s="107">
        <f>IF(H122&gt;0, rate1(1,$L$52,$L$51,$L$54,U122,$L$53,$L$50,Y122),"")</f>
        <v>2314.5085998803752</v>
      </c>
      <c r="AA122" s="335">
        <f t="shared" si="23"/>
        <v>8.4304536447542683E-2</v>
      </c>
      <c r="AB122" s="335">
        <f t="shared" si="24"/>
        <v>2.0961959613842933E-3</v>
      </c>
      <c r="AC122" s="327">
        <f t="shared" si="25"/>
        <v>0.25468197254847064</v>
      </c>
      <c r="AD122" s="327">
        <f t="shared" si="26"/>
        <v>0.31411724669587493</v>
      </c>
      <c r="AE122" s="327">
        <f t="shared" si="27"/>
        <v>-9.9891094012716355E-2</v>
      </c>
      <c r="AF122" s="327">
        <f t="shared" si="28"/>
        <v>1502.5659223399098</v>
      </c>
      <c r="AG122" s="327">
        <f t="shared" si="29"/>
        <v>1491.0840375731862</v>
      </c>
      <c r="AH122" s="327">
        <f t="shared" si="30"/>
        <v>8.1532628781297198</v>
      </c>
      <c r="AI122" s="327">
        <f t="shared" si="31"/>
        <v>109.90675342184616</v>
      </c>
      <c r="AJ122" s="327">
        <f t="shared" si="32"/>
        <v>0.84843550899644793</v>
      </c>
      <c r="AK122" s="336">
        <f t="shared" si="33"/>
        <v>1.9940210622240904</v>
      </c>
      <c r="AL122" s="42">
        <f t="shared" si="34"/>
        <v>5.4413640739279963</v>
      </c>
      <c r="BA122" s="8"/>
    </row>
    <row r="123" spans="1:53" x14ac:dyDescent="0.25">
      <c r="A123" s="115"/>
      <c r="B123" s="327">
        <f t="shared" si="6"/>
        <v>1502.5659223399098</v>
      </c>
      <c r="C123" s="327">
        <f t="shared" si="7"/>
        <v>1491.0840375731862</v>
      </c>
      <c r="D123" s="327">
        <f t="shared" si="8"/>
        <v>8.1532628781297198</v>
      </c>
      <c r="E123" s="327">
        <f t="shared" si="0"/>
        <v>38.693439810666355</v>
      </c>
      <c r="F123" s="327">
        <f t="shared" si="9"/>
        <v>38.120353539239716</v>
      </c>
      <c r="G123" s="327">
        <f t="shared" si="10"/>
        <v>2189.2659446410762</v>
      </c>
      <c r="H123" s="312">
        <f t="shared" si="35"/>
        <v>0.06</v>
      </c>
      <c r="I123" s="327">
        <f t="shared" si="12"/>
        <v>6.8891308600341743</v>
      </c>
      <c r="J123" s="327">
        <f t="shared" si="1"/>
        <v>1848</v>
      </c>
      <c r="K123" s="334">
        <f t="shared" si="13"/>
        <v>1</v>
      </c>
      <c r="L123" s="322">
        <f t="shared" si="14"/>
        <v>8.2132628781297203</v>
      </c>
      <c r="M123" s="322">
        <f>IF(H123&gt;0, (D123+L123)/2,"")</f>
        <v>8.183262878129721</v>
      </c>
      <c r="N123" s="327">
        <f t="shared" si="16"/>
        <v>0.17127405201522095</v>
      </c>
      <c r="O123" s="327">
        <f t="shared" si="2"/>
        <v>0.86803768549919358</v>
      </c>
      <c r="P123" s="331">
        <f t="shared" si="4"/>
        <v>215.70009762097749</v>
      </c>
      <c r="Q123" s="327">
        <f t="shared" si="17"/>
        <v>349.63427157724664</v>
      </c>
      <c r="R123" s="276">
        <f>IF(H123&gt;0, rate1(1,$L$52,$L$51,$L$54,L123,$L$53,$L$50,P123),"")</f>
        <v>2320.203209246235</v>
      </c>
      <c r="S123" s="322">
        <f t="shared" si="18"/>
        <v>0.17359986881635431</v>
      </c>
      <c r="T123" s="322">
        <f t="shared" si="19"/>
        <v>0.20725317621853062</v>
      </c>
      <c r="U123" s="327">
        <f t="shared" si="3"/>
        <v>8.1532628781297198</v>
      </c>
      <c r="V123" s="335">
        <f t="shared" si="20"/>
        <v>8.1532628781297198</v>
      </c>
      <c r="W123" s="327">
        <f t="shared" si="21"/>
        <v>1.9579454396598805E-3</v>
      </c>
      <c r="X123" s="327">
        <f t="shared" si="22"/>
        <v>293.36069356167036</v>
      </c>
      <c r="Y123" s="327">
        <f t="shared" si="5"/>
        <v>214.121475104783</v>
      </c>
      <c r="Z123" s="107">
        <f>IF(H123&gt;0, rate1(1,$L$52,$L$51,$L$54,U123,$L$53,$L$50,Y123),"")</f>
        <v>2318.1809642556132</v>
      </c>
      <c r="AA123" s="335">
        <f t="shared" si="23"/>
        <v>0.14578606308580913</v>
      </c>
      <c r="AB123" s="335">
        <f t="shared" si="24"/>
        <v>2.29210196070187E-3</v>
      </c>
      <c r="AC123" s="327">
        <f t="shared" si="25"/>
        <v>0.20725317621853062</v>
      </c>
      <c r="AD123" s="327">
        <f t="shared" si="26"/>
        <v>0.28950099146724373</v>
      </c>
      <c r="AE123" s="327">
        <f t="shared" si="27"/>
        <v>-0.10657883598741939</v>
      </c>
      <c r="AF123" s="327">
        <f t="shared" si="28"/>
        <v>1502.5299432157065</v>
      </c>
      <c r="AG123" s="327">
        <f t="shared" si="29"/>
        <v>1490.8767843969677</v>
      </c>
      <c r="AH123" s="327">
        <f t="shared" si="30"/>
        <v>8.2138484542609973</v>
      </c>
      <c r="AI123" s="327">
        <f t="shared" si="31"/>
        <v>89.325441578826641</v>
      </c>
      <c r="AJ123" s="327">
        <f t="shared" si="32"/>
        <v>0.87324813165723314</v>
      </c>
      <c r="AK123" s="336">
        <f t="shared" si="33"/>
        <v>2.2224329453810752</v>
      </c>
      <c r="AL123" s="42">
        <f t="shared" si="34"/>
        <v>5.6444717542515681</v>
      </c>
      <c r="BA123" s="8"/>
    </row>
    <row r="124" spans="1:53" x14ac:dyDescent="0.25">
      <c r="A124" s="115"/>
      <c r="B124" s="327">
        <f t="shared" si="6"/>
        <v>1502.5299432157065</v>
      </c>
      <c r="C124" s="327">
        <f t="shared" si="7"/>
        <v>1490.8767843969677</v>
      </c>
      <c r="D124" s="327">
        <f t="shared" si="8"/>
        <v>8.2138484542609973</v>
      </c>
      <c r="E124" s="327">
        <f t="shared" si="0"/>
        <v>39.598037232573574</v>
      </c>
      <c r="F124" s="327">
        <f t="shared" si="9"/>
        <v>39.145738521619961</v>
      </c>
      <c r="G124" s="327">
        <f t="shared" si="10"/>
        <v>2298.2743390912351</v>
      </c>
      <c r="H124" s="312">
        <f t="shared" si="35"/>
        <v>0.06</v>
      </c>
      <c r="I124" s="327">
        <f t="shared" si="12"/>
        <v>6.9918952912432815</v>
      </c>
      <c r="J124" s="327">
        <f t="shared" si="1"/>
        <v>1848</v>
      </c>
      <c r="K124" s="334">
        <f t="shared" si="13"/>
        <v>1</v>
      </c>
      <c r="L124" s="322">
        <f t="shared" si="14"/>
        <v>8.2738484542609978</v>
      </c>
      <c r="M124" s="322">
        <f t="shared" si="15"/>
        <v>8.2438484542609984</v>
      </c>
      <c r="N124" s="327">
        <f t="shared" si="16"/>
        <v>0.17255910859260837</v>
      </c>
      <c r="O124" s="327">
        <f t="shared" si="2"/>
        <v>0.86705492296070308</v>
      </c>
      <c r="P124" s="331">
        <f t="shared" si="4"/>
        <v>217.82914421294046</v>
      </c>
      <c r="Q124" s="327">
        <f t="shared" si="17"/>
        <v>451.33489323671165</v>
      </c>
      <c r="R124" s="276">
        <f>IF(H124&gt;0, rate1(1,$L$52,$L$51,$L$54,L124,$L$53,$L$50,P124),"")</f>
        <v>2322.8895810042</v>
      </c>
      <c r="S124" s="322">
        <f t="shared" si="18"/>
        <v>0.22409064993620045</v>
      </c>
      <c r="T124" s="322">
        <f t="shared" si="19"/>
        <v>0.22239596491319458</v>
      </c>
      <c r="U124" s="327">
        <f t="shared" si="3"/>
        <v>8.2138484542609973</v>
      </c>
      <c r="V124" s="335">
        <f t="shared" si="20"/>
        <v>8.2138484542609973</v>
      </c>
      <c r="W124" s="327">
        <f t="shared" si="21"/>
        <v>1.9871519032292895E-3</v>
      </c>
      <c r="X124" s="327">
        <f t="shared" si="22"/>
        <v>400.3458648156834</v>
      </c>
      <c r="Y124" s="327">
        <f t="shared" si="5"/>
        <v>216.24663480441041</v>
      </c>
      <c r="Z124" s="107">
        <f>IF(H124&gt;0, rate1(1,$L$52,$L$51,$L$54,U124,$L$53,$L$50,Y124),"")</f>
        <v>2320.8972654493396</v>
      </c>
      <c r="AA124" s="335">
        <f t="shared" si="23"/>
        <v>0.19894490522182906</v>
      </c>
      <c r="AB124" s="335">
        <f t="shared" si="24"/>
        <v>2.4806682039511573E-3</v>
      </c>
      <c r="AC124" s="327">
        <f t="shared" si="25"/>
        <v>0.22239596491319458</v>
      </c>
      <c r="AD124" s="327">
        <f t="shared" si="26"/>
        <v>0.26978906754634308</v>
      </c>
      <c r="AE124" s="327">
        <f t="shared" si="27"/>
        <v>-9.1758237286256872E-2</v>
      </c>
      <c r="AF124" s="327">
        <f t="shared" si="28"/>
        <v>1502.4801063593859</v>
      </c>
      <c r="AG124" s="327">
        <f t="shared" si="29"/>
        <v>1490.6543884320545</v>
      </c>
      <c r="AH124" s="327">
        <f t="shared" si="30"/>
        <v>8.2744399981175665</v>
      </c>
      <c r="AI124" s="327">
        <f t="shared" si="31"/>
        <v>95.741083317895544</v>
      </c>
      <c r="AJ124" s="327">
        <f t="shared" si="32"/>
        <v>0.89984287702331522</v>
      </c>
      <c r="AK124" s="336">
        <f t="shared" si="33"/>
        <v>2.4179900926196263</v>
      </c>
      <c r="AL124" s="42">
        <f t="shared" si="34"/>
        <v>5.8095451702892396</v>
      </c>
      <c r="BA124" s="8"/>
    </row>
    <row r="125" spans="1:53" x14ac:dyDescent="0.25">
      <c r="A125" s="115"/>
      <c r="B125" s="327">
        <f t="shared" si="6"/>
        <v>1502.4801063593859</v>
      </c>
      <c r="C125" s="327">
        <f t="shared" si="7"/>
        <v>1490.6543884320545</v>
      </c>
      <c r="D125" s="327">
        <f t="shared" si="8"/>
        <v>8.2744399981175665</v>
      </c>
      <c r="E125" s="327">
        <f t="shared" si="0"/>
        <v>40.5426319360311</v>
      </c>
      <c r="F125" s="327">
        <f t="shared" si="9"/>
        <v>40.070334584302337</v>
      </c>
      <c r="G125" s="327">
        <f t="shared" si="10"/>
        <v>2404.6240529257379</v>
      </c>
      <c r="H125" s="312">
        <f t="shared" si="35"/>
        <v>0.06</v>
      </c>
      <c r="I125" s="327">
        <f t="shared" si="12"/>
        <v>7.095430756398855</v>
      </c>
      <c r="J125" s="327">
        <f t="shared" si="1"/>
        <v>1848</v>
      </c>
      <c r="K125" s="334">
        <f t="shared" si="13"/>
        <v>1</v>
      </c>
      <c r="L125" s="322">
        <f t="shared" si="14"/>
        <v>8.334439998117567</v>
      </c>
      <c r="M125" s="322">
        <f t="shared" si="15"/>
        <v>8.3044399981175658</v>
      </c>
      <c r="N125" s="327">
        <f t="shared" si="16"/>
        <v>0.17384450800610551</v>
      </c>
      <c r="O125" s="327">
        <f t="shared" si="2"/>
        <v>0.86583959450477066</v>
      </c>
      <c r="P125" s="331">
        <f t="shared" si="4"/>
        <v>219.96362436863143</v>
      </c>
      <c r="Q125" s="327">
        <f t="shared" si="17"/>
        <v>558.47616653102477</v>
      </c>
      <c r="R125" s="276">
        <f>IF(H125&gt;0, rate1(1,$L$52,$L$51,$L$54,L125,$L$53,$L$50,P125),"")</f>
        <v>2325.5366771384151</v>
      </c>
      <c r="S125" s="322">
        <f t="shared" si="18"/>
        <v>0.27736011488041495</v>
      </c>
      <c r="T125" s="322">
        <f t="shared" si="19"/>
        <v>0.24056865886573242</v>
      </c>
      <c r="U125" s="327">
        <f t="shared" si="3"/>
        <v>8.2744399981175665</v>
      </c>
      <c r="V125" s="335">
        <f t="shared" si="20"/>
        <v>8.2744399981175665</v>
      </c>
      <c r="W125" s="327">
        <f t="shared" si="21"/>
        <v>2.0165775007257025E-3</v>
      </c>
      <c r="X125" s="327">
        <f t="shared" si="22"/>
        <v>504.75862066888794</v>
      </c>
      <c r="Y125" s="327">
        <f t="shared" si="5"/>
        <v>218.37724663093459</v>
      </c>
      <c r="Z125" s="107">
        <f>IF(H125&gt;0, rate1(1,$L$52,$L$51,$L$54,U125,$L$53,$L$50,Y125),"")</f>
        <v>2323.573675420268</v>
      </c>
      <c r="AA125" s="335">
        <f t="shared" si="23"/>
        <v>0.25089375724209306</v>
      </c>
      <c r="AB125" s="335">
        <f t="shared" si="24"/>
        <v>2.6919779673727959E-3</v>
      </c>
      <c r="AC125" s="327">
        <f t="shared" si="25"/>
        <v>0.24056865886573242</v>
      </c>
      <c r="AD125" s="327">
        <f t="shared" si="26"/>
        <v>0.24940904722542243</v>
      </c>
      <c r="AE125" s="327">
        <f t="shared" si="27"/>
        <v>-8.8041371950062577E-2</v>
      </c>
      <c r="AF125" s="327">
        <f t="shared" si="28"/>
        <v>1502.4133822085262</v>
      </c>
      <c r="AG125" s="327">
        <f t="shared" si="29"/>
        <v>1490.4138197731888</v>
      </c>
      <c r="AH125" s="327">
        <f t="shared" si="30"/>
        <v>8.3350374986212259</v>
      </c>
      <c r="AI125" s="327">
        <f t="shared" si="31"/>
        <v>103.44651246771708</v>
      </c>
      <c r="AJ125" s="327">
        <f t="shared" si="32"/>
        <v>0.92857801937545881</v>
      </c>
      <c r="AK125" s="336">
        <f t="shared" si="33"/>
        <v>2.6380293676059416</v>
      </c>
      <c r="AL125" s="42">
        <f t="shared" si="34"/>
        <v>5.9864746922607104</v>
      </c>
      <c r="BA125" s="8"/>
    </row>
    <row r="126" spans="1:53" x14ac:dyDescent="0.25">
      <c r="A126" s="115"/>
      <c r="B126" s="327">
        <f t="shared" si="6"/>
        <v>1502.4133822085262</v>
      </c>
      <c r="C126" s="327">
        <f t="shared" si="7"/>
        <v>1490.4138197731888</v>
      </c>
      <c r="D126" s="327">
        <f t="shared" si="8"/>
        <v>8.3350374986212259</v>
      </c>
      <c r="E126" s="327">
        <f t="shared" ref="E126:E189" si="36">bb2wang($B$6,$H$12,C126,$H$8,$H$9,I126,$H$10,$H$11,$K$10,$K$11,$H$13)</f>
        <v>41.534321779808749</v>
      </c>
      <c r="F126" s="327">
        <f t="shared" si="9"/>
        <v>41.038476857919925</v>
      </c>
      <c r="G126" s="327">
        <f t="shared" si="10"/>
        <v>2498.9420047457561</v>
      </c>
      <c r="H126" s="312">
        <f t="shared" ref="H126:H157" si="37">dv(S125)</f>
        <v>0.04</v>
      </c>
      <c r="I126" s="327">
        <f t="shared" si="12"/>
        <v>7.1997374612024032</v>
      </c>
      <c r="J126" s="327">
        <f t="shared" ref="J126:J189" si="38">$B$7</f>
        <v>1848</v>
      </c>
      <c r="K126" s="334">
        <f t="shared" si="13"/>
        <v>1</v>
      </c>
      <c r="L126" s="322">
        <f t="shared" si="14"/>
        <v>8.375037498621225</v>
      </c>
      <c r="M126" s="322">
        <f t="shared" si="15"/>
        <v>8.3550374986212255</v>
      </c>
      <c r="N126" s="327">
        <f t="shared" si="16"/>
        <v>0.11736647904328379</v>
      </c>
      <c r="O126" s="327">
        <f t="shared" ref="O126:O189" si="39">IF(wh(B125,$F$51,$F$52,$F$53)&gt;0,wh(B125,$F$51,$F$52,$F$53),O125)</f>
        <v>0.86415616971381948</v>
      </c>
      <c r="P126" s="331">
        <f t="shared" si="4"/>
        <v>221.5728031361954</v>
      </c>
      <c r="Q126" s="327">
        <f t="shared" si="17"/>
        <v>662.6773518098139</v>
      </c>
      <c r="R126" s="276">
        <f>IF(H126&gt;0, rate1(1,$L$52,$L$51,$L$54,L126,$L$53,$L$50,P126),"")</f>
        <v>2327.5024937837175</v>
      </c>
      <c r="S126" s="322">
        <f t="shared" si="18"/>
        <v>0.32947293000289768</v>
      </c>
      <c r="T126" s="322">
        <f t="shared" si="19"/>
        <v>0.1750361533409695</v>
      </c>
      <c r="U126" s="327">
        <f t="shared" ref="U126:U189" si="40">L126-K126*H126</f>
        <v>8.3350374986212259</v>
      </c>
      <c r="V126" s="335">
        <f t="shared" si="20"/>
        <v>8.3350374986212259</v>
      </c>
      <c r="W126" s="327">
        <f t="shared" si="21"/>
        <v>2.0462222906338923E-3</v>
      </c>
      <c r="X126" s="327">
        <f t="shared" si="22"/>
        <v>614.93232742832379</v>
      </c>
      <c r="Y126" s="327">
        <f t="shared" si="5"/>
        <v>220.51328613695463</v>
      </c>
      <c r="Z126" s="107">
        <f>IF(H126&gt;0, rate1(1,$L$52,$L$51,$L$54,U126,$L$53,$L$50,Y126),"")</f>
        <v>2326.21101087547</v>
      </c>
      <c r="AA126" s="335">
        <f t="shared" si="23"/>
        <v>0.305904582444609</v>
      </c>
      <c r="AB126" s="335">
        <f t="shared" si="24"/>
        <v>2.9480417805389084E-3</v>
      </c>
      <c r="AC126" s="327">
        <f t="shared" si="25"/>
        <v>0.1750361533409695</v>
      </c>
      <c r="AD126" s="327">
        <f t="shared" si="26"/>
        <v>0.22852421763451469</v>
      </c>
      <c r="AE126" s="327">
        <f t="shared" si="27"/>
        <v>-0.10050330976687835</v>
      </c>
      <c r="AF126" s="327">
        <f t="shared" si="28"/>
        <v>1502.3557125342286</v>
      </c>
      <c r="AG126" s="327">
        <f t="shared" si="29"/>
        <v>1490.2387836198479</v>
      </c>
      <c r="AH126" s="327">
        <f t="shared" si="30"/>
        <v>8.3757003805400903</v>
      </c>
      <c r="AI126" s="327">
        <f t="shared" si="31"/>
        <v>75.203422470418488</v>
      </c>
      <c r="AJ126" s="327">
        <f t="shared" si="32"/>
        <v>0.94946785895057506</v>
      </c>
      <c r="AK126" s="336">
        <f t="shared" si="33"/>
        <v>2.8867793396770964</v>
      </c>
      <c r="AL126" s="42">
        <f t="shared" si="34"/>
        <v>6.1776438473010513</v>
      </c>
      <c r="BA126" s="8"/>
    </row>
    <row r="127" spans="1:53" x14ac:dyDescent="0.25">
      <c r="A127" s="115"/>
      <c r="B127" s="327">
        <f t="shared" si="6"/>
        <v>1502.3557125342286</v>
      </c>
      <c r="C127" s="327">
        <f t="shared" si="7"/>
        <v>1490.2387836198479</v>
      </c>
      <c r="D127" s="327">
        <f t="shared" si="8"/>
        <v>8.3757003805400903</v>
      </c>
      <c r="E127" s="327">
        <f t="shared" si="36"/>
        <v>42.23442951643824</v>
      </c>
      <c r="F127" s="327">
        <f t="shared" si="9"/>
        <v>41.884375648123495</v>
      </c>
      <c r="G127" s="327">
        <f t="shared" si="10"/>
        <v>2587.7813492686801</v>
      </c>
      <c r="H127" s="312">
        <f t="shared" si="37"/>
        <v>0.04</v>
      </c>
      <c r="I127" s="327">
        <f t="shared" si="12"/>
        <v>7.2701573486283904</v>
      </c>
      <c r="J127" s="327">
        <f t="shared" si="38"/>
        <v>1848</v>
      </c>
      <c r="K127" s="334">
        <f t="shared" si="13"/>
        <v>1</v>
      </c>
      <c r="L127" s="322">
        <f t="shared" si="14"/>
        <v>8.4157003805400894</v>
      </c>
      <c r="M127" s="322">
        <f t="shared" si="15"/>
        <v>8.3957003805400898</v>
      </c>
      <c r="N127" s="327">
        <f t="shared" si="16"/>
        <v>0.11794841419153101</v>
      </c>
      <c r="O127" s="327">
        <f t="shared" si="39"/>
        <v>0.8619023138728743</v>
      </c>
      <c r="P127" s="331">
        <f t="shared" ref="P127:P190" si="41">IF(H127&gt;0, $C$54*$L$55*$L$55*M127*M127/(($B$19*(B127-C127))^0.333)*1000,"")</f>
        <v>223.0107852880644</v>
      </c>
      <c r="Q127" s="327">
        <f t="shared" si="17"/>
        <v>742.45467602485905</v>
      </c>
      <c r="R127" s="276">
        <f>IF(H127&gt;0, rate1(1,$L$52,$L$51,$L$54,L127,$L$53,$L$50,P127),"")</f>
        <v>2329.2379268571126</v>
      </c>
      <c r="S127" s="322">
        <f t="shared" si="18"/>
        <v>0.36982651676570222</v>
      </c>
      <c r="T127" s="322">
        <f t="shared" si="19"/>
        <v>0.18716816452855717</v>
      </c>
      <c r="U127" s="327">
        <f t="shared" si="40"/>
        <v>8.3757003805400903</v>
      </c>
      <c r="V127" s="335">
        <f t="shared" si="20"/>
        <v>8.3757003805400903</v>
      </c>
      <c r="W127" s="327">
        <f t="shared" si="21"/>
        <v>2.0662361792247452E-3</v>
      </c>
      <c r="X127" s="327">
        <f t="shared" si="22"/>
        <v>702.66848939649662</v>
      </c>
      <c r="Y127" s="327">
        <f t="shared" ref="Y127:Y190" si="42">IF(H127&gt;0, $C$54*$L$55*$L$55*V127*V127/(($B$19*(B127-C127))^0.333)*1000,"")</f>
        <v>221.94955084567491</v>
      </c>
      <c r="Z127" s="107">
        <f>IF(H127&gt;0, rate1(1,$L$52,$L$51,$L$54,U127,$L$53,$L$50,Y127),"")</f>
        <v>2327.9590960717383</v>
      </c>
      <c r="AA127" s="335">
        <f t="shared" si="23"/>
        <v>0.35020076188564225</v>
      </c>
      <c r="AB127" s="335">
        <f t="shared" si="24"/>
        <v>3.1798070204279148E-3</v>
      </c>
      <c r="AC127" s="327">
        <f t="shared" si="25"/>
        <v>0.18716816452855717</v>
      </c>
      <c r="AD127" s="327">
        <f t="shared" si="26"/>
        <v>0.21371155773607539</v>
      </c>
      <c r="AE127" s="327">
        <f t="shared" si="27"/>
        <v>-8.1791735590380901E-2</v>
      </c>
      <c r="AF127" s="327">
        <f t="shared" si="28"/>
        <v>1502.2864927838916</v>
      </c>
      <c r="AG127" s="327">
        <f t="shared" si="29"/>
        <v>1490.0516154553193</v>
      </c>
      <c r="AH127" s="327">
        <f t="shared" si="30"/>
        <v>8.416366960058685</v>
      </c>
      <c r="AI127" s="327">
        <f t="shared" si="31"/>
        <v>80.355966374421399</v>
      </c>
      <c r="AJ127" s="327">
        <f t="shared" si="32"/>
        <v>0.97178896072124765</v>
      </c>
      <c r="AK127" s="336">
        <f t="shared" si="33"/>
        <v>3.0747083309890662</v>
      </c>
      <c r="AL127" s="42">
        <f t="shared" si="34"/>
        <v>6.3166197720263844</v>
      </c>
      <c r="BA127" s="8"/>
    </row>
    <row r="128" spans="1:53" x14ac:dyDescent="0.25">
      <c r="A128" s="115"/>
      <c r="B128" s="327">
        <f t="shared" ref="B128:B191" si="43">IF(H128&gt;0, AF127,"")</f>
        <v>1502.2864927838916</v>
      </c>
      <c r="C128" s="327">
        <f t="shared" ref="C128:C191" si="44">IF(H128&gt;0, AG127,"")</f>
        <v>1490.0516154553193</v>
      </c>
      <c r="D128" s="327">
        <f t="shared" ref="D128:D191" si="45">IF(H128&gt;0, AH127,"")</f>
        <v>8.416366960058685</v>
      </c>
      <c r="E128" s="327">
        <f t="shared" si="36"/>
        <v>42.965018871942576</v>
      </c>
      <c r="F128" s="327">
        <f t="shared" ref="F128:F191" si="46">IF(H128&gt;0, (E128+E127)/2,"")</f>
        <v>42.599724194190408</v>
      </c>
      <c r="G128" s="327">
        <f t="shared" ref="G128:G191" si="47">IF(H128&gt;0, F128*$S$53*$C$55*(B128-C128+N128)^1.5,"")</f>
        <v>2670.3184698536948</v>
      </c>
      <c r="H128" s="312">
        <f t="shared" si="37"/>
        <v>0.04</v>
      </c>
      <c r="I128" s="327">
        <f t="shared" ref="I128:I191" si="48">IF(H128&gt;0, (B128-C128)*B$19,"")</f>
        <v>7.3409263971434022</v>
      </c>
      <c r="J128" s="327">
        <f t="shared" si="38"/>
        <v>1848</v>
      </c>
      <c r="K128" s="334">
        <f t="shared" ref="K128:K191" si="49">IF(H128&gt;0, IF((1-S127-0.015)&gt;0,1,-1),"")</f>
        <v>1</v>
      </c>
      <c r="L128" s="322">
        <f t="shared" ref="L128:L191" si="50">IF(H128&gt;0, D128+K128*H128,"")</f>
        <v>8.4563669600586842</v>
      </c>
      <c r="M128" s="322">
        <f t="shared" ref="M128:M191" si="51">IF(H128&gt;0, (D128+L128)/2,"")</f>
        <v>8.4363669600586846</v>
      </c>
      <c r="N128" s="327">
        <f t="shared" ref="N128:N191" si="52">IF(H128&gt;0, 2*($P$53*M128/$S$52/$S$51)^2-(B128-C128)*2,"")</f>
        <v>0.11853049967133344</v>
      </c>
      <c r="O128" s="327">
        <f t="shared" si="39"/>
        <v>0.85995430658336558</v>
      </c>
      <c r="P128" s="331">
        <f t="shared" si="41"/>
        <v>224.45122382782617</v>
      </c>
      <c r="Q128" s="327">
        <f t="shared" ref="Q128:Q191" si="53">IF(H128&gt;0, M128/$S$54*(B128-C128+N128/2)*E128-J128,"")</f>
        <v>825.74487342055136</v>
      </c>
      <c r="R128" s="276">
        <f>IF(H128&gt;0, rate1(1,$L$52,$L$51,$L$54,L128,$L$53,$L$50,P128),"")</f>
        <v>2330.9565775182323</v>
      </c>
      <c r="S128" s="322">
        <f t="shared" ref="S128:S191" si="54">IF(H128&gt;0, Q128/O128/R128,"")</f>
        <v>0.41194224079192232</v>
      </c>
      <c r="T128" s="322">
        <f t="shared" ref="T128:T191" si="55">IF(H128&gt;0, N128/(1-S128),"")</f>
        <v>0.20156268294283786</v>
      </c>
      <c r="U128" s="327">
        <f t="shared" si="40"/>
        <v>8.416366960058685</v>
      </c>
      <c r="V128" s="335">
        <f t="shared" ref="V128:V191" si="56">IF(H128&gt;0, (D128+U128)/2,"")</f>
        <v>8.416366960058685</v>
      </c>
      <c r="W128" s="327">
        <f t="shared" ref="W128:W191" si="57">IF(H128&gt;0, 2*($P$53*V128/$S$52/$S$51)^2-(B128-C128)*2,"")</f>
        <v>2.0863493021430202E-3</v>
      </c>
      <c r="X128" s="327">
        <f t="shared" ref="X128:X191" si="58">IF(H128&gt;0, V128/$S$54*(B128-C128+W128/2)*F128-J128,"")</f>
        <v>784.20280275858295</v>
      </c>
      <c r="Y128" s="327">
        <f t="shared" si="42"/>
        <v>223.38827731117124</v>
      </c>
      <c r="Z128" s="107">
        <f>IF(H128&gt;0, rate1(1,$L$52,$L$51,$L$54,U128,$L$53,$L$50,Y128),"")</f>
        <v>2329.6902265041554</v>
      </c>
      <c r="AA128" s="335">
        <f t="shared" ref="AA128:AA191" si="59">IF(H128&gt;0, X128/O128/Z128,"")</f>
        <v>0.39143065690513912</v>
      </c>
      <c r="AB128" s="335">
        <f t="shared" ref="AB128:AB191" si="60">IF(H128&gt;0, W128/(1-AA128),"")</f>
        <v>3.4282852493570481E-3</v>
      </c>
      <c r="AC128" s="327">
        <f t="shared" ref="AC128:AC191" si="61">IF(H128&gt;0, delta_z(N128,S128,H128,AE127,AB128),"")</f>
        <v>0.20156268294283786</v>
      </c>
      <c r="AD128" s="327">
        <f t="shared" ref="AD128:AD191" si="62">IF(H128&gt;0, H128/AC128*K128,"")</f>
        <v>0.19844943228575596</v>
      </c>
      <c r="AE128" s="327">
        <f t="shared" ref="AE128:AE191" si="63">IF(H128&gt;0, (AD128-AD127)/(AC128+AC127)*2,"")</f>
        <v>-7.8522841959139902E-2</v>
      </c>
      <c r="AF128" s="327">
        <f t="shared" ref="AF128:AF191" si="64">IF(H128&gt;0, B128-(AC128-N128),"")</f>
        <v>1502.20346060062</v>
      </c>
      <c r="AG128" s="327">
        <f t="shared" ref="AG128:AG191" si="65">IF(H128&gt;0, C128-AC128,"")</f>
        <v>1489.8500527723763</v>
      </c>
      <c r="AH128" s="327">
        <f t="shared" ref="AH128:AH191" si="66">IF(H128&gt;0, $S$54*$S$53*$C$55*SQRT(AF128-AG128),"")</f>
        <v>8.4570372352938374</v>
      </c>
      <c r="AI128" s="327">
        <f t="shared" ref="AI128:AI191" si="67">IF(H128&gt;0, AC128/R128*1000000,"")</f>
        <v>86.47208827778401</v>
      </c>
      <c r="AJ128" s="327">
        <f t="shared" ref="AJ128:AJ191" si="68">IF(H128&gt;0, AJ127+AI128/3600,"")</f>
        <v>0.99580898524285433</v>
      </c>
      <c r="AK128" s="336">
        <f t="shared" ref="AK128:AK191" si="69">IF(H128&gt;0, AK127+AI127*G127/1000000,"")</f>
        <v>3.2826520020752552</v>
      </c>
      <c r="AL128" s="42">
        <f t="shared" ref="AL128:AL191" si="70">IF(H128&gt;0, AL127+AI127*J127/1000000,"")</f>
        <v>6.4651175978863149</v>
      </c>
      <c r="BA128" s="8"/>
    </row>
    <row r="129" spans="1:53" x14ac:dyDescent="0.25">
      <c r="A129" s="115"/>
      <c r="B129" s="327">
        <f t="shared" si="43"/>
        <v>1502.20346060062</v>
      </c>
      <c r="C129" s="327">
        <f t="shared" si="44"/>
        <v>1489.8500527723763</v>
      </c>
      <c r="D129" s="327">
        <f t="shared" si="45"/>
        <v>8.4570372352938374</v>
      </c>
      <c r="E129" s="327">
        <f t="shared" si="36"/>
        <v>43.731357144728079</v>
      </c>
      <c r="F129" s="327">
        <f t="shared" si="46"/>
        <v>43.348188008335327</v>
      </c>
      <c r="G129" s="327">
        <f t="shared" si="47"/>
        <v>2756.6294705632999</v>
      </c>
      <c r="H129" s="312">
        <f t="shared" si="37"/>
        <v>0.04</v>
      </c>
      <c r="I129" s="327">
        <f t="shared" si="48"/>
        <v>7.4120446969462135</v>
      </c>
      <c r="J129" s="327">
        <f t="shared" si="38"/>
        <v>1848</v>
      </c>
      <c r="K129" s="334">
        <f t="shared" si="49"/>
        <v>1</v>
      </c>
      <c r="L129" s="322">
        <f t="shared" si="50"/>
        <v>8.4970372352938366</v>
      </c>
      <c r="M129" s="322">
        <f t="shared" si="51"/>
        <v>8.477037235293837</v>
      </c>
      <c r="N129" s="327">
        <f t="shared" si="52"/>
        <v>0.11911273548228607</v>
      </c>
      <c r="O129" s="327">
        <f t="shared" si="39"/>
        <v>0.85761615260769752</v>
      </c>
      <c r="P129" s="331">
        <f t="shared" si="41"/>
        <v>225.89411185812264</v>
      </c>
      <c r="Q129" s="327">
        <f t="shared" si="53"/>
        <v>912.98342340164572</v>
      </c>
      <c r="R129" s="276">
        <f>IF(H129&gt;0, rate1(1,$L$52,$L$51,$L$54,L129,$L$53,$L$50,P129),"")</f>
        <v>2332.6586725563752</v>
      </c>
      <c r="S129" s="322">
        <f t="shared" si="54"/>
        <v>0.4563717415862294</v>
      </c>
      <c r="T129" s="322">
        <f t="shared" si="55"/>
        <v>0.21910696075630795</v>
      </c>
      <c r="U129" s="327">
        <f t="shared" si="40"/>
        <v>8.4570372352938374</v>
      </c>
      <c r="V129" s="335">
        <f t="shared" si="56"/>
        <v>8.4570372352938374</v>
      </c>
      <c r="W129" s="327">
        <f t="shared" si="57"/>
        <v>2.1065616850357571E-3</v>
      </c>
      <c r="X129" s="327">
        <f t="shared" si="58"/>
        <v>869.46680707855194</v>
      </c>
      <c r="Y129" s="327">
        <f t="shared" si="42"/>
        <v>224.8294585934174</v>
      </c>
      <c r="Z129" s="107">
        <f>IF(H129&gt;0, rate1(1,$L$52,$L$51,$L$54,U129,$L$53,$L$50,Y129),"")</f>
        <v>2331.4046319482977</v>
      </c>
      <c r="AA129" s="335">
        <f t="shared" si="59"/>
        <v>0.4348529292541613</v>
      </c>
      <c r="AB129" s="335">
        <f t="shared" si="60"/>
        <v>3.7274574957199638E-3</v>
      </c>
      <c r="AC129" s="327">
        <f t="shared" si="61"/>
        <v>0.21910696075630795</v>
      </c>
      <c r="AD129" s="327">
        <f t="shared" si="62"/>
        <v>0.18255923893028772</v>
      </c>
      <c r="AE129" s="327">
        <f t="shared" si="63"/>
        <v>-7.5547135827241055E-2</v>
      </c>
      <c r="AF129" s="327">
        <f t="shared" si="64"/>
        <v>1502.103466375346</v>
      </c>
      <c r="AG129" s="327">
        <f t="shared" si="65"/>
        <v>1489.63094581162</v>
      </c>
      <c r="AH129" s="327">
        <f t="shared" si="66"/>
        <v>8.4977112043936103</v>
      </c>
      <c r="AI129" s="327">
        <f t="shared" si="67"/>
        <v>93.930142173860034</v>
      </c>
      <c r="AJ129" s="327">
        <f t="shared" si="68"/>
        <v>1.0219006914022599</v>
      </c>
      <c r="AK129" s="336">
        <f t="shared" si="69"/>
        <v>3.5135600165302412</v>
      </c>
      <c r="AL129" s="42">
        <f t="shared" si="70"/>
        <v>6.6249180170236599</v>
      </c>
      <c r="BA129" s="8"/>
    </row>
    <row r="130" spans="1:53" x14ac:dyDescent="0.25">
      <c r="A130" s="115"/>
      <c r="B130" s="327">
        <f t="shared" si="43"/>
        <v>1502.103466375346</v>
      </c>
      <c r="C130" s="327">
        <f t="shared" si="44"/>
        <v>1489.63094581162</v>
      </c>
      <c r="D130" s="327">
        <f t="shared" si="45"/>
        <v>8.4977112043936103</v>
      </c>
      <c r="E130" s="327">
        <f t="shared" si="36"/>
        <v>44.540784608642667</v>
      </c>
      <c r="F130" s="327">
        <f t="shared" si="46"/>
        <v>44.136070876685373</v>
      </c>
      <c r="G130" s="327">
        <f t="shared" si="47"/>
        <v>2847.2329614759374</v>
      </c>
      <c r="H130" s="312">
        <f t="shared" si="37"/>
        <v>0.04</v>
      </c>
      <c r="I130" s="327">
        <f t="shared" si="48"/>
        <v>7.4835123382355953</v>
      </c>
      <c r="J130" s="327">
        <f t="shared" si="38"/>
        <v>1848</v>
      </c>
      <c r="K130" s="334">
        <f t="shared" si="49"/>
        <v>1</v>
      </c>
      <c r="L130" s="322">
        <f t="shared" si="50"/>
        <v>8.5377112043936094</v>
      </c>
      <c r="M130" s="322">
        <f t="shared" si="51"/>
        <v>8.5177112043936098</v>
      </c>
      <c r="N130" s="327">
        <f t="shared" si="52"/>
        <v>0.11969512162446705</v>
      </c>
      <c r="O130" s="327">
        <f t="shared" si="39"/>
        <v>0.85481143244503022</v>
      </c>
      <c r="P130" s="331">
        <f t="shared" si="41"/>
        <v>227.33944253792444</v>
      </c>
      <c r="Q130" s="327">
        <f t="shared" si="53"/>
        <v>1004.7595498976234</v>
      </c>
      <c r="R130" s="276">
        <f>IF(H130&gt;0, rate1(1,$L$52,$L$51,$L$54,L130,$L$53,$L$50,P130),"")</f>
        <v>2334.3444348567609</v>
      </c>
      <c r="S130" s="322">
        <f t="shared" si="54"/>
        <v>0.50353177756313472</v>
      </c>
      <c r="T130" s="322">
        <f t="shared" si="55"/>
        <v>0.2410932184882959</v>
      </c>
      <c r="U130" s="327">
        <f t="shared" si="40"/>
        <v>8.4977112043936103</v>
      </c>
      <c r="V130" s="335">
        <f t="shared" si="56"/>
        <v>8.4977112043936103</v>
      </c>
      <c r="W130" s="327">
        <f t="shared" si="57"/>
        <v>2.1268733535535489E-3</v>
      </c>
      <c r="X130" s="327">
        <f t="shared" si="58"/>
        <v>958.97239915676255</v>
      </c>
      <c r="Y130" s="327">
        <f t="shared" si="42"/>
        <v>226.27308780925438</v>
      </c>
      <c r="Z130" s="107">
        <f>IF(H130&gt;0, rate1(1,$L$52,$L$51,$L$54,U130,$L$53,$L$50,Y130),"")</f>
        <v>2333.1025382132775</v>
      </c>
      <c r="AA130" s="335">
        <f t="shared" si="59"/>
        <v>0.48084151805819703</v>
      </c>
      <c r="AB130" s="335">
        <f t="shared" si="60"/>
        <v>4.096770885064667E-3</v>
      </c>
      <c r="AC130" s="327">
        <f t="shared" si="61"/>
        <v>0.2410932184882959</v>
      </c>
      <c r="AD130" s="327">
        <f t="shared" si="62"/>
        <v>0.16591092960145554</v>
      </c>
      <c r="AE130" s="327">
        <f t="shared" si="63"/>
        <v>-7.2352467815895119E-2</v>
      </c>
      <c r="AF130" s="327">
        <f t="shared" si="64"/>
        <v>1501.9820682784821</v>
      </c>
      <c r="AG130" s="327">
        <f t="shared" si="65"/>
        <v>1489.3898525931318</v>
      </c>
      <c r="AH130" s="327">
        <f t="shared" si="66"/>
        <v>8.5383888655364739</v>
      </c>
      <c r="AI130" s="327">
        <f t="shared" si="67"/>
        <v>103.28091042960837</v>
      </c>
      <c r="AJ130" s="327">
        <f t="shared" si="68"/>
        <v>1.0505898331882622</v>
      </c>
      <c r="AK130" s="336">
        <f t="shared" si="69"/>
        <v>3.7724906146209043</v>
      </c>
      <c r="AL130" s="42">
        <f t="shared" si="70"/>
        <v>6.7985009197609534</v>
      </c>
      <c r="BA130" s="8"/>
    </row>
    <row r="131" spans="1:53" x14ac:dyDescent="0.25">
      <c r="A131" s="115"/>
      <c r="B131" s="327">
        <f t="shared" si="43"/>
        <v>1501.9820682784821</v>
      </c>
      <c r="C131" s="327">
        <f t="shared" si="44"/>
        <v>1489.3898525931318</v>
      </c>
      <c r="D131" s="327">
        <f t="shared" si="45"/>
        <v>8.5383888655364739</v>
      </c>
      <c r="E131" s="327">
        <f t="shared" si="36"/>
        <v>45.403636332007949</v>
      </c>
      <c r="F131" s="327">
        <f t="shared" si="46"/>
        <v>44.972210470325308</v>
      </c>
      <c r="G131" s="327">
        <f t="shared" si="47"/>
        <v>2922.3408223227789</v>
      </c>
      <c r="H131" s="312">
        <f t="shared" si="37"/>
        <v>0.02</v>
      </c>
      <c r="I131" s="327">
        <f t="shared" si="48"/>
        <v>7.5553294112101863</v>
      </c>
      <c r="J131" s="327">
        <f t="shared" si="38"/>
        <v>1848</v>
      </c>
      <c r="K131" s="334">
        <f t="shared" si="49"/>
        <v>1</v>
      </c>
      <c r="L131" s="322">
        <f t="shared" si="50"/>
        <v>8.5583888655364735</v>
      </c>
      <c r="M131" s="322">
        <f t="shared" si="51"/>
        <v>8.5483888655364737</v>
      </c>
      <c r="N131" s="327">
        <f t="shared" si="52"/>
        <v>6.1177923660817868E-2</v>
      </c>
      <c r="O131" s="327">
        <f t="shared" si="39"/>
        <v>0.85143375635937324</v>
      </c>
      <c r="P131" s="331">
        <f t="shared" si="41"/>
        <v>228.25287125227442</v>
      </c>
      <c r="Q131" s="327">
        <f t="shared" si="53"/>
        <v>1091.5578933517481</v>
      </c>
      <c r="R131" s="276">
        <f>IF(H131&gt;0, rate1(1,$L$52,$L$51,$L$54,L131,$L$53,$L$50,P131),"")</f>
        <v>2335.4000424991518</v>
      </c>
      <c r="S131" s="322">
        <f t="shared" si="54"/>
        <v>0.54895232180751086</v>
      </c>
      <c r="T131" s="322">
        <f t="shared" si="55"/>
        <v>0.13563515924963829</v>
      </c>
      <c r="U131" s="327">
        <f t="shared" si="40"/>
        <v>8.5383888655364739</v>
      </c>
      <c r="V131" s="335">
        <f t="shared" si="56"/>
        <v>8.5383888655364739</v>
      </c>
      <c r="W131" s="327">
        <f t="shared" si="57"/>
        <v>2.1472843333043556E-3</v>
      </c>
      <c r="X131" s="327">
        <f t="shared" si="58"/>
        <v>1053.4199722397675</v>
      </c>
      <c r="Y131" s="327">
        <f t="shared" si="42"/>
        <v>227.71915813165776</v>
      </c>
      <c r="Z131" s="107">
        <f>IF(H131&gt;0, rate1(1,$L$52,$L$51,$L$54,U131,$L$53,$L$50,Y131),"")</f>
        <v>2334.7841672243285</v>
      </c>
      <c r="AA131" s="335">
        <f t="shared" si="59"/>
        <v>0.52991223148322408</v>
      </c>
      <c r="AB131" s="335">
        <f t="shared" si="60"/>
        <v>4.5678370660004229E-3</v>
      </c>
      <c r="AC131" s="327">
        <f t="shared" si="61"/>
        <v>0.13563515924963829</v>
      </c>
      <c r="AD131" s="327">
        <f t="shared" si="62"/>
        <v>0.14745439243514832</v>
      </c>
      <c r="AE131" s="327">
        <f t="shared" si="63"/>
        <v>-9.7983259329331662E-2</v>
      </c>
      <c r="AF131" s="327">
        <f t="shared" si="64"/>
        <v>1501.9076110428932</v>
      </c>
      <c r="AG131" s="327">
        <f t="shared" si="65"/>
        <v>1489.2542174338821</v>
      </c>
      <c r="AH131" s="327">
        <f t="shared" si="66"/>
        <v>8.5591051553957573</v>
      </c>
      <c r="AI131" s="327">
        <f t="shared" si="67"/>
        <v>58.077912469545375</v>
      </c>
      <c r="AJ131" s="327">
        <f t="shared" si="68"/>
        <v>1.0667225866520247</v>
      </c>
      <c r="AK131" s="336">
        <f t="shared" si="69"/>
        <v>4.0665554270873292</v>
      </c>
      <c r="AL131" s="42">
        <f t="shared" si="70"/>
        <v>6.98936404223487</v>
      </c>
      <c r="BA131" s="8"/>
    </row>
    <row r="132" spans="1:53" x14ac:dyDescent="0.25">
      <c r="A132" s="115"/>
      <c r="B132" s="327">
        <f t="shared" si="43"/>
        <v>1501.9076110428932</v>
      </c>
      <c r="C132" s="327">
        <f t="shared" si="44"/>
        <v>1489.2542174338821</v>
      </c>
      <c r="D132" s="327">
        <f t="shared" si="45"/>
        <v>8.5591051553957573</v>
      </c>
      <c r="E132" s="327">
        <f t="shared" si="36"/>
        <v>45.874157664709955</v>
      </c>
      <c r="F132" s="327">
        <f t="shared" si="46"/>
        <v>45.638896998358952</v>
      </c>
      <c r="G132" s="327">
        <f t="shared" si="47"/>
        <v>2987.2509364589059</v>
      </c>
      <c r="H132" s="312">
        <f t="shared" si="37"/>
        <v>0.02</v>
      </c>
      <c r="I132" s="327">
        <f t="shared" si="48"/>
        <v>7.5920361654066708</v>
      </c>
      <c r="J132" s="327">
        <f t="shared" si="38"/>
        <v>1848</v>
      </c>
      <c r="K132" s="334">
        <f t="shared" si="49"/>
        <v>1</v>
      </c>
      <c r="L132" s="322">
        <f t="shared" si="50"/>
        <v>8.5791051553957569</v>
      </c>
      <c r="M132" s="322">
        <f t="shared" si="51"/>
        <v>8.5691051553957571</v>
      </c>
      <c r="N132" s="327">
        <f t="shared" si="52"/>
        <v>6.1331495443095463E-2</v>
      </c>
      <c r="O132" s="327">
        <f t="shared" si="39"/>
        <v>0.84733308507062832</v>
      </c>
      <c r="P132" s="331">
        <f t="shared" si="41"/>
        <v>228.99064178918337</v>
      </c>
      <c r="Q132" s="327">
        <f t="shared" si="53"/>
        <v>1143.6659000731024</v>
      </c>
      <c r="R132" s="276">
        <f>IF(H132&gt;0, rate1(1,$L$52,$L$51,$L$54,L132,$L$53,$L$50,P132),"")</f>
        <v>2336.24719205066</v>
      </c>
      <c r="S132" s="322">
        <f t="shared" si="54"/>
        <v>0.57773172360257063</v>
      </c>
      <c r="T132" s="322">
        <f t="shared" si="55"/>
        <v>0.14524296252217547</v>
      </c>
      <c r="U132" s="327">
        <f t="shared" si="40"/>
        <v>8.5591051553957573</v>
      </c>
      <c r="V132" s="335">
        <f t="shared" si="56"/>
        <v>8.5591051553957573</v>
      </c>
      <c r="W132" s="327">
        <f t="shared" si="57"/>
        <v>2.1577166829587213E-3</v>
      </c>
      <c r="X132" s="327">
        <f t="shared" si="58"/>
        <v>1117.915662966323</v>
      </c>
      <c r="Y132" s="327">
        <f t="shared" si="42"/>
        <v>228.45649726989814</v>
      </c>
      <c r="Z132" s="107">
        <f>IF(H132&gt;0, rate1(1,$L$52,$L$51,$L$54,U132,$L$53,$L$50,Y132),"")</f>
        <v>2335.6343425192417</v>
      </c>
      <c r="AA132" s="335">
        <f t="shared" si="59"/>
        <v>0.56487196953554142</v>
      </c>
      <c r="AB132" s="335">
        <f t="shared" si="60"/>
        <v>4.9588087456824146E-3</v>
      </c>
      <c r="AC132" s="327">
        <f t="shared" si="61"/>
        <v>0.14524296252217547</v>
      </c>
      <c r="AD132" s="327">
        <f t="shared" si="62"/>
        <v>0.13770030335856329</v>
      </c>
      <c r="AE132" s="327">
        <f t="shared" si="63"/>
        <v>-6.945424595589747E-2</v>
      </c>
      <c r="AF132" s="327">
        <f t="shared" si="64"/>
        <v>1501.8236995758141</v>
      </c>
      <c r="AG132" s="327">
        <f t="shared" si="65"/>
        <v>1489.1089744713599</v>
      </c>
      <c r="AH132" s="327">
        <f t="shared" si="66"/>
        <v>8.5798232397098424</v>
      </c>
      <c r="AI132" s="327">
        <f t="shared" si="67"/>
        <v>62.169347069257377</v>
      </c>
      <c r="AJ132" s="327">
        <f t="shared" si="68"/>
        <v>1.0839918497268184</v>
      </c>
      <c r="AK132" s="336">
        <f t="shared" si="69"/>
        <v>4.2362788815723711</v>
      </c>
      <c r="AL132" s="42">
        <f t="shared" si="70"/>
        <v>7.0966920244785898</v>
      </c>
      <c r="BA132" s="8"/>
    </row>
    <row r="133" spans="1:53" x14ac:dyDescent="0.25">
      <c r="A133" s="115"/>
      <c r="B133" s="327">
        <f t="shared" si="43"/>
        <v>1501.8236995758141</v>
      </c>
      <c r="C133" s="327">
        <f t="shared" si="44"/>
        <v>1489.1089744713599</v>
      </c>
      <c r="D133" s="327">
        <f t="shared" si="45"/>
        <v>8.5798232397098424</v>
      </c>
      <c r="E133" s="327">
        <f t="shared" si="36"/>
        <v>46.367703732926728</v>
      </c>
      <c r="F133" s="327">
        <f t="shared" si="46"/>
        <v>46.120930698818341</v>
      </c>
      <c r="G133" s="327">
        <f t="shared" si="47"/>
        <v>3040.7256611933253</v>
      </c>
      <c r="H133" s="312">
        <f t="shared" si="37"/>
        <v>0.02</v>
      </c>
      <c r="I133" s="327">
        <f t="shared" si="48"/>
        <v>7.6288350626724872</v>
      </c>
      <c r="J133" s="327">
        <f t="shared" si="38"/>
        <v>1848</v>
      </c>
      <c r="K133" s="334">
        <f t="shared" si="49"/>
        <v>1</v>
      </c>
      <c r="L133" s="322">
        <f t="shared" si="50"/>
        <v>8.599823239709842</v>
      </c>
      <c r="M133" s="322">
        <f t="shared" si="51"/>
        <v>8.5898232397098422</v>
      </c>
      <c r="N133" s="327">
        <f t="shared" si="52"/>
        <v>6.1485105811975416E-2</v>
      </c>
      <c r="O133" s="327">
        <f t="shared" si="39"/>
        <v>0.84481801559173209</v>
      </c>
      <c r="P133" s="331">
        <f t="shared" si="41"/>
        <v>229.72907192748954</v>
      </c>
      <c r="Q133" s="327">
        <f t="shared" si="53"/>
        <v>1197.8382870116848</v>
      </c>
      <c r="R133" s="276">
        <f>IF(H133&gt;0, rate1(1,$L$52,$L$51,$L$54,L133,$L$53,$L$50,P133),"")</f>
        <v>2337.0902602041865</v>
      </c>
      <c r="S133" s="322">
        <f t="shared" si="54"/>
        <v>0.60667980495280049</v>
      </c>
      <c r="T133" s="322">
        <f t="shared" si="55"/>
        <v>0.15632328720013228</v>
      </c>
      <c r="U133" s="327">
        <f t="shared" si="40"/>
        <v>8.5798232397098424</v>
      </c>
      <c r="V133" s="335">
        <f t="shared" si="56"/>
        <v>8.5798232397098424</v>
      </c>
      <c r="W133" s="327">
        <f t="shared" si="57"/>
        <v>2.1681752204081306E-3</v>
      </c>
      <c r="X133" s="327">
        <f t="shared" si="58"/>
        <v>1171.0593876736043</v>
      </c>
      <c r="Y133" s="327">
        <f t="shared" si="42"/>
        <v>229.19449666588596</v>
      </c>
      <c r="Z133" s="107">
        <f>IF(H133&gt;0, rate1(1,$L$52,$L$51,$L$54,U133,$L$53,$L$50,Y133),"")</f>
        <v>2336.4804158190959</v>
      </c>
      <c r="AA133" s="335">
        <f t="shared" si="59"/>
        <v>0.5932716671017213</v>
      </c>
      <c r="AB133" s="335">
        <f t="shared" si="60"/>
        <v>5.3307700620659334E-3</v>
      </c>
      <c r="AC133" s="327">
        <f t="shared" si="61"/>
        <v>0.15632328720013228</v>
      </c>
      <c r="AD133" s="327">
        <f t="shared" si="62"/>
        <v>0.12793999127203023</v>
      </c>
      <c r="AE133" s="327">
        <f t="shared" si="63"/>
        <v>-6.4730798592486219E-2</v>
      </c>
      <c r="AF133" s="327">
        <f t="shared" si="64"/>
        <v>1501.7288613944258</v>
      </c>
      <c r="AG133" s="327">
        <f t="shared" si="65"/>
        <v>1488.9526511841598</v>
      </c>
      <c r="AH133" s="327">
        <f t="shared" si="66"/>
        <v>8.6005431184982655</v>
      </c>
      <c r="AI133" s="327">
        <f t="shared" si="67"/>
        <v>66.887997379474186</v>
      </c>
      <c r="AJ133" s="327">
        <f t="shared" si="68"/>
        <v>1.1025718489988945</v>
      </c>
      <c r="AK133" s="336">
        <f t="shared" si="69"/>
        <v>4.4219943218240489</v>
      </c>
      <c r="AL133" s="42">
        <f t="shared" si="70"/>
        <v>7.2115809778625772</v>
      </c>
      <c r="BA133" s="8"/>
    </row>
    <row r="134" spans="1:53" x14ac:dyDescent="0.25">
      <c r="A134" s="115"/>
      <c r="B134" s="327">
        <f t="shared" si="43"/>
        <v>1501.7288613944258</v>
      </c>
      <c r="C134" s="327">
        <f t="shared" si="44"/>
        <v>1488.9526511841598</v>
      </c>
      <c r="D134" s="327">
        <f t="shared" si="45"/>
        <v>8.6005431184982655</v>
      </c>
      <c r="E134" s="327">
        <f t="shared" si="36"/>
        <v>46.88764325038121</v>
      </c>
      <c r="F134" s="327">
        <f t="shared" si="46"/>
        <v>46.627673491653965</v>
      </c>
      <c r="G134" s="327">
        <f t="shared" si="47"/>
        <v>3096.4084444042064</v>
      </c>
      <c r="H134" s="312">
        <f t="shared" si="37"/>
        <v>0.02</v>
      </c>
      <c r="I134" s="327">
        <f t="shared" si="48"/>
        <v>7.665726126159643</v>
      </c>
      <c r="J134" s="327">
        <f t="shared" si="38"/>
        <v>1848</v>
      </c>
      <c r="K134" s="334">
        <f t="shared" si="49"/>
        <v>1</v>
      </c>
      <c r="L134" s="322">
        <f t="shared" si="50"/>
        <v>8.620543118498265</v>
      </c>
      <c r="M134" s="322">
        <f t="shared" si="51"/>
        <v>8.6105431184982653</v>
      </c>
      <c r="N134" s="327">
        <f t="shared" si="52"/>
        <v>6.1638754774151039E-2</v>
      </c>
      <c r="O134" s="327">
        <f t="shared" si="39"/>
        <v>0.84198359435501702</v>
      </c>
      <c r="P134" s="331">
        <f t="shared" si="41"/>
        <v>230.46816086578599</v>
      </c>
      <c r="Q134" s="327">
        <f t="shared" si="53"/>
        <v>1254.3344329293227</v>
      </c>
      <c r="R134" s="276">
        <f>IF(H134&gt;0, rate1(1,$L$52,$L$51,$L$54,L134,$L$53,$L$50,P134),"")</f>
        <v>2337.9292744749782</v>
      </c>
      <c r="S134" s="322">
        <f t="shared" si="54"/>
        <v>0.63720378334894845</v>
      </c>
      <c r="T134" s="322">
        <f t="shared" si="55"/>
        <v>0.16989911125075779</v>
      </c>
      <c r="U134" s="327">
        <f t="shared" si="40"/>
        <v>8.6005431184982655</v>
      </c>
      <c r="V134" s="335">
        <f t="shared" si="56"/>
        <v>8.6005431184982655</v>
      </c>
      <c r="W134" s="327">
        <f t="shared" si="57"/>
        <v>2.1786599522322092E-3</v>
      </c>
      <c r="X134" s="327">
        <f t="shared" si="58"/>
        <v>1226.3970216068947</v>
      </c>
      <c r="Y134" s="327">
        <f t="shared" si="42"/>
        <v>229.93315551560988</v>
      </c>
      <c r="Z134" s="107">
        <f>IF(H134&gt;0, rate1(1,$L$52,$L$51,$L$54,U134,$L$53,$L$50,Y134),"")</f>
        <v>2337.3224148175327</v>
      </c>
      <c r="AA134" s="335">
        <f t="shared" si="59"/>
        <v>0.6231732942565521</v>
      </c>
      <c r="AB134" s="335">
        <f t="shared" si="60"/>
        <v>5.7815964713379148E-3</v>
      </c>
      <c r="AC134" s="327">
        <f t="shared" si="61"/>
        <v>0.16989911125075779</v>
      </c>
      <c r="AD134" s="327">
        <f t="shared" si="62"/>
        <v>0.11771691948689222</v>
      </c>
      <c r="AE134" s="327">
        <f t="shared" si="63"/>
        <v>-6.2675474361561997E-2</v>
      </c>
      <c r="AF134" s="327">
        <f t="shared" si="64"/>
        <v>1501.6206010379492</v>
      </c>
      <c r="AG134" s="327">
        <f t="shared" si="65"/>
        <v>1488.782752072909</v>
      </c>
      <c r="AH134" s="327">
        <f t="shared" si="66"/>
        <v>8.6212647917814653</v>
      </c>
      <c r="AI134" s="327">
        <f t="shared" si="67"/>
        <v>72.670766008912537</v>
      </c>
      <c r="AJ134" s="327">
        <f t="shared" si="68"/>
        <v>1.1227581728902591</v>
      </c>
      <c r="AK134" s="336">
        <f t="shared" si="69"/>
        <v>4.6253823718816482</v>
      </c>
      <c r="AL134" s="42">
        <f t="shared" si="70"/>
        <v>7.335189997019846</v>
      </c>
      <c r="BA134" s="8"/>
    </row>
    <row r="135" spans="1:53" x14ac:dyDescent="0.25">
      <c r="A135" s="115"/>
      <c r="B135" s="327">
        <f t="shared" si="43"/>
        <v>1501.6206010379492</v>
      </c>
      <c r="C135" s="327">
        <f t="shared" si="44"/>
        <v>1488.782752072909</v>
      </c>
      <c r="D135" s="327">
        <f t="shared" si="45"/>
        <v>8.6212647917814653</v>
      </c>
      <c r="E135" s="327">
        <f t="shared" si="36"/>
        <v>47.439769840286168</v>
      </c>
      <c r="F135" s="327">
        <f t="shared" si="46"/>
        <v>47.163706545333689</v>
      </c>
      <c r="G135" s="327">
        <f t="shared" si="47"/>
        <v>3154.6449595287409</v>
      </c>
      <c r="H135" s="312">
        <f t="shared" si="37"/>
        <v>0.02</v>
      </c>
      <c r="I135" s="327">
        <f t="shared" si="48"/>
        <v>7.7027093790240997</v>
      </c>
      <c r="J135" s="327">
        <f t="shared" si="38"/>
        <v>1848</v>
      </c>
      <c r="K135" s="334">
        <f t="shared" si="49"/>
        <v>1</v>
      </c>
      <c r="L135" s="322">
        <f t="shared" si="50"/>
        <v>8.6412647917814649</v>
      </c>
      <c r="M135" s="322">
        <f t="shared" si="51"/>
        <v>8.6312647917814651</v>
      </c>
      <c r="N135" s="327">
        <f t="shared" si="52"/>
        <v>6.1792442336368936E-2</v>
      </c>
      <c r="O135" s="327">
        <f t="shared" si="39"/>
        <v>0.83878008278818006</v>
      </c>
      <c r="P135" s="331">
        <f t="shared" si="41"/>
        <v>231.20790780605265</v>
      </c>
      <c r="Q135" s="327">
        <f t="shared" si="53"/>
        <v>1313.5821098494766</v>
      </c>
      <c r="R135" s="276">
        <f>IF(H135&gt;0, rate1(1,$L$52,$L$51,$L$54,L135,$L$53,$L$50,P135),"")</f>
        <v>2338.7642621415116</v>
      </c>
      <c r="S135" s="322">
        <f t="shared" si="54"/>
        <v>0.66961113460316113</v>
      </c>
      <c r="T135" s="322">
        <f t="shared" si="55"/>
        <v>0.18702943351964477</v>
      </c>
      <c r="U135" s="327">
        <f t="shared" si="40"/>
        <v>8.6212647917814653</v>
      </c>
      <c r="V135" s="335">
        <f t="shared" si="56"/>
        <v>8.6212647917814653</v>
      </c>
      <c r="W135" s="327">
        <f t="shared" si="57"/>
        <v>2.1891708849857139E-3</v>
      </c>
      <c r="X135" s="327">
        <f t="shared" si="58"/>
        <v>1284.2718856458364</v>
      </c>
      <c r="Y135" s="327">
        <f t="shared" si="42"/>
        <v>230.67247301846206</v>
      </c>
      <c r="Z135" s="107">
        <f>IF(H135&gt;0, rate1(1,$L$52,$L$51,$L$54,U135,$L$53,$L$50,Y135),"")</f>
        <v>2338.160366969561</v>
      </c>
      <c r="AA135" s="335">
        <f t="shared" si="59"/>
        <v>0.65483905225186334</v>
      </c>
      <c r="AB135" s="335">
        <f t="shared" si="60"/>
        <v>6.3424639990939764E-3</v>
      </c>
      <c r="AC135" s="327">
        <f t="shared" si="61"/>
        <v>0.18702943351964477</v>
      </c>
      <c r="AD135" s="327">
        <f t="shared" si="62"/>
        <v>0.10693504024273959</v>
      </c>
      <c r="AE135" s="327">
        <f t="shared" si="63"/>
        <v>-6.0414777143073133E-2</v>
      </c>
      <c r="AF135" s="327">
        <f t="shared" si="64"/>
        <v>1501.4953640467659</v>
      </c>
      <c r="AG135" s="327">
        <f t="shared" si="65"/>
        <v>1488.5957226393894</v>
      </c>
      <c r="AH135" s="327">
        <f t="shared" si="66"/>
        <v>8.6419882595808541</v>
      </c>
      <c r="AI135" s="327">
        <f t="shared" si="67"/>
        <v>79.969339598335367</v>
      </c>
      <c r="AJ135" s="327">
        <f t="shared" si="68"/>
        <v>1.1449718783342413</v>
      </c>
      <c r="AK135" s="336">
        <f t="shared" si="69"/>
        <v>4.8504007454129674</v>
      </c>
      <c r="AL135" s="42">
        <f t="shared" si="70"/>
        <v>7.4694855726043166</v>
      </c>
      <c r="BA135" s="8"/>
    </row>
    <row r="136" spans="1:53" x14ac:dyDescent="0.25">
      <c r="A136" s="115"/>
      <c r="B136" s="327">
        <f t="shared" si="43"/>
        <v>1501.4953640467659</v>
      </c>
      <c r="C136" s="327">
        <f t="shared" si="44"/>
        <v>1488.5957226393894</v>
      </c>
      <c r="D136" s="327">
        <f t="shared" si="45"/>
        <v>8.6419882595808541</v>
      </c>
      <c r="E136" s="327">
        <f t="shared" si="36"/>
        <v>48.032327141547029</v>
      </c>
      <c r="F136" s="327">
        <f t="shared" si="46"/>
        <v>47.736048490916602</v>
      </c>
      <c r="G136" s="327">
        <f t="shared" si="47"/>
        <v>3215.9542904706841</v>
      </c>
      <c r="H136" s="312">
        <f t="shared" si="37"/>
        <v>0.02</v>
      </c>
      <c r="I136" s="327">
        <f t="shared" si="48"/>
        <v>7.7397848444259125</v>
      </c>
      <c r="J136" s="327">
        <f t="shared" si="38"/>
        <v>1848</v>
      </c>
      <c r="K136" s="334">
        <f t="shared" si="49"/>
        <v>1</v>
      </c>
      <c r="L136" s="322">
        <f t="shared" si="50"/>
        <v>8.6619882595808537</v>
      </c>
      <c r="M136" s="322">
        <f t="shared" si="51"/>
        <v>8.6519882595808539</v>
      </c>
      <c r="N136" s="327">
        <f t="shared" si="52"/>
        <v>6.1946168505347288E-2</v>
      </c>
      <c r="O136" s="327">
        <f t="shared" si="39"/>
        <v>0.83512318744153613</v>
      </c>
      <c r="P136" s="331">
        <f t="shared" si="41"/>
        <v>231.94831195363793</v>
      </c>
      <c r="Q136" s="327">
        <f t="shared" si="53"/>
        <v>1376.1850829523123</v>
      </c>
      <c r="R136" s="276">
        <f>IF(H136&gt;0, rate1(1,$L$52,$L$51,$L$54,L136,$L$53,$L$50,P136),"")</f>
        <v>2339.5952502479627</v>
      </c>
      <c r="S136" s="322">
        <f t="shared" si="54"/>
        <v>0.70434522199788774</v>
      </c>
      <c r="T136" s="322">
        <f t="shared" si="55"/>
        <v>0.20952195978008081</v>
      </c>
      <c r="U136" s="327">
        <f t="shared" si="40"/>
        <v>8.6419882595808541</v>
      </c>
      <c r="V136" s="335">
        <f t="shared" si="56"/>
        <v>8.6419882595808541</v>
      </c>
      <c r="W136" s="327">
        <f t="shared" si="57"/>
        <v>2.1997080252802448E-3</v>
      </c>
      <c r="X136" s="327">
        <f t="shared" si="58"/>
        <v>1345.1995060581594</v>
      </c>
      <c r="Y136" s="327">
        <f t="shared" si="42"/>
        <v>231.41244837721914</v>
      </c>
      <c r="Z136" s="107">
        <f>IF(H136&gt;0, rate1(1,$L$52,$L$51,$L$54,U136,$L$53,$L$50,Y136),"")</f>
        <v>2338.9942994940443</v>
      </c>
      <c r="AA136" s="335">
        <f t="shared" si="59"/>
        <v>0.68866338611778333</v>
      </c>
      <c r="AB136" s="335">
        <f t="shared" si="60"/>
        <v>7.0653688875553433E-3</v>
      </c>
      <c r="AC136" s="327">
        <f t="shared" si="61"/>
        <v>0.20952195978008081</v>
      </c>
      <c r="AD136" s="327">
        <f t="shared" si="62"/>
        <v>9.5455388165481422E-2</v>
      </c>
      <c r="AE136" s="327">
        <f t="shared" si="63"/>
        <v>-5.7897423997103431E-2</v>
      </c>
      <c r="AF136" s="327">
        <f t="shared" si="64"/>
        <v>1501.3477882554912</v>
      </c>
      <c r="AG136" s="327">
        <f t="shared" si="65"/>
        <v>1488.3862006796094</v>
      </c>
      <c r="AH136" s="327">
        <f t="shared" si="66"/>
        <v>8.662713521918727</v>
      </c>
      <c r="AI136" s="327">
        <f t="shared" si="67"/>
        <v>89.554789341393374</v>
      </c>
      <c r="AJ136" s="327">
        <f t="shared" si="68"/>
        <v>1.1698482087068505</v>
      </c>
      <c r="AK136" s="336">
        <f t="shared" si="69"/>
        <v>5.1026756194936986</v>
      </c>
      <c r="AL136" s="42">
        <f t="shared" si="70"/>
        <v>7.6172689121820403</v>
      </c>
      <c r="BA136" s="8"/>
    </row>
    <row r="137" spans="1:53" x14ac:dyDescent="0.25">
      <c r="A137" s="115"/>
      <c r="B137" s="327">
        <f t="shared" si="43"/>
        <v>1501.3477882554912</v>
      </c>
      <c r="C137" s="327">
        <f t="shared" si="44"/>
        <v>1488.3862006796094</v>
      </c>
      <c r="D137" s="327">
        <f t="shared" si="45"/>
        <v>8.662713521918727</v>
      </c>
      <c r="E137" s="327">
        <f t="shared" si="36"/>
        <v>48.677737829624931</v>
      </c>
      <c r="F137" s="327">
        <f t="shared" si="46"/>
        <v>48.35503248558598</v>
      </c>
      <c r="G137" s="327">
        <f t="shared" si="47"/>
        <v>3281.0944611871391</v>
      </c>
      <c r="H137" s="312">
        <f t="shared" si="37"/>
        <v>0.02</v>
      </c>
      <c r="I137" s="327">
        <f t="shared" si="48"/>
        <v>7.7769525455290927</v>
      </c>
      <c r="J137" s="327">
        <f t="shared" si="38"/>
        <v>1848</v>
      </c>
      <c r="K137" s="334">
        <f t="shared" si="49"/>
        <v>1</v>
      </c>
      <c r="L137" s="322">
        <f t="shared" si="50"/>
        <v>8.6827135219187266</v>
      </c>
      <c r="M137" s="322">
        <f t="shared" si="51"/>
        <v>8.6727135219187268</v>
      </c>
      <c r="N137" s="327">
        <f t="shared" si="52"/>
        <v>6.2099933287829145E-2</v>
      </c>
      <c r="O137" s="327">
        <f t="shared" si="39"/>
        <v>0.8308928432491558</v>
      </c>
      <c r="P137" s="331">
        <f t="shared" si="41"/>
        <v>232.68937251723409</v>
      </c>
      <c r="Q137" s="327">
        <f t="shared" si="53"/>
        <v>1443.0460690130308</v>
      </c>
      <c r="R137" s="276">
        <f>IF(H137&gt;0, rate1(1,$L$52,$L$51,$L$54,L137,$L$53,$L$50,P137),"")</f>
        <v>2340.4222656066354</v>
      </c>
      <c r="S137" s="322">
        <f t="shared" si="54"/>
        <v>0.74206330574618773</v>
      </c>
      <c r="T137" s="322">
        <f t="shared" si="55"/>
        <v>0.24075649053144099</v>
      </c>
      <c r="U137" s="327">
        <f t="shared" si="40"/>
        <v>8.662713521918727</v>
      </c>
      <c r="V137" s="335">
        <f t="shared" si="56"/>
        <v>8.662713521918727</v>
      </c>
      <c r="W137" s="327">
        <f t="shared" si="57"/>
        <v>2.2102713797060858E-3</v>
      </c>
      <c r="X137" s="327">
        <f t="shared" si="58"/>
        <v>1409.9326954965718</v>
      </c>
      <c r="Y137" s="327">
        <f t="shared" si="42"/>
        <v>232.15308079801784</v>
      </c>
      <c r="Z137" s="107">
        <f>IF(H137&gt;0, rate1(1,$L$52,$L$51,$L$54,U137,$L$53,$L$50,Y137),"")</f>
        <v>2339.8242393761543</v>
      </c>
      <c r="AA137" s="335">
        <f t="shared" si="59"/>
        <v>0.72522059313754561</v>
      </c>
      <c r="AB137" s="335">
        <f t="shared" si="60"/>
        <v>8.0438028633363912E-3</v>
      </c>
      <c r="AC137" s="327">
        <f t="shared" si="61"/>
        <v>0.24075649053144099</v>
      </c>
      <c r="AD137" s="327">
        <f t="shared" si="62"/>
        <v>8.3071488356772458E-2</v>
      </c>
      <c r="AE137" s="327">
        <f t="shared" si="63"/>
        <v>-5.5005518474807114E-2</v>
      </c>
      <c r="AF137" s="327">
        <f t="shared" si="64"/>
        <v>1501.1691316982476</v>
      </c>
      <c r="AG137" s="327">
        <f t="shared" si="65"/>
        <v>1488.145444189078</v>
      </c>
      <c r="AH137" s="327">
        <f t="shared" si="66"/>
        <v>8.6834405788183275</v>
      </c>
      <c r="AI137" s="327">
        <f t="shared" si="67"/>
        <v>102.86882588216923</v>
      </c>
      <c r="AJ137" s="327">
        <f t="shared" si="68"/>
        <v>1.1984228825630086</v>
      </c>
      <c r="AK137" s="336">
        <f t="shared" si="69"/>
        <v>5.390679728508351</v>
      </c>
      <c r="AL137" s="42">
        <f t="shared" si="70"/>
        <v>7.7827661628849354</v>
      </c>
      <c r="BA137" s="8"/>
    </row>
    <row r="138" spans="1:53" x14ac:dyDescent="0.25">
      <c r="A138" s="115"/>
      <c r="B138" s="327">
        <f t="shared" si="43"/>
        <v>1501.1691316982476</v>
      </c>
      <c r="C138" s="327">
        <f t="shared" si="44"/>
        <v>1488.145444189078</v>
      </c>
      <c r="D138" s="327">
        <f t="shared" si="45"/>
        <v>8.6834405788183275</v>
      </c>
      <c r="E138" s="327">
        <f t="shared" si="36"/>
        <v>49.39622944387925</v>
      </c>
      <c r="F138" s="327">
        <f t="shared" si="46"/>
        <v>49.03698363675209</v>
      </c>
      <c r="G138" s="327">
        <f t="shared" si="47"/>
        <v>3351.2536545718526</v>
      </c>
      <c r="H138" s="312">
        <f t="shared" si="37"/>
        <v>0.02</v>
      </c>
      <c r="I138" s="327">
        <f t="shared" si="48"/>
        <v>7.8142125055017457</v>
      </c>
      <c r="J138" s="327">
        <f t="shared" si="38"/>
        <v>1848</v>
      </c>
      <c r="K138" s="334">
        <f t="shared" si="49"/>
        <v>1</v>
      </c>
      <c r="L138" s="322">
        <f t="shared" si="50"/>
        <v>8.7034405788183271</v>
      </c>
      <c r="M138" s="322">
        <f t="shared" si="51"/>
        <v>8.6934405788183273</v>
      </c>
      <c r="N138" s="327">
        <f t="shared" si="52"/>
        <v>6.2253736690546901E-2</v>
      </c>
      <c r="O138" s="327">
        <f t="shared" si="39"/>
        <v>0.82590792317357786</v>
      </c>
      <c r="P138" s="331">
        <f t="shared" si="41"/>
        <v>233.43108870885902</v>
      </c>
      <c r="Q138" s="327">
        <f t="shared" si="53"/>
        <v>1515.6239855684985</v>
      </c>
      <c r="R138" s="276">
        <f>IF(H138&gt;0, rate1(1,$L$52,$L$51,$L$54,L138,$L$53,$L$50,P138),"")</f>
        <v>2341.2453348003669</v>
      </c>
      <c r="S138" s="322">
        <f t="shared" si="54"/>
        <v>0.78381381201888922</v>
      </c>
      <c r="T138" s="322">
        <f t="shared" si="55"/>
        <v>0.28796352473723397</v>
      </c>
      <c r="U138" s="327">
        <f t="shared" si="40"/>
        <v>8.6834405788183275</v>
      </c>
      <c r="V138" s="335">
        <f t="shared" si="56"/>
        <v>8.6834405788183275</v>
      </c>
      <c r="W138" s="327">
        <f t="shared" si="57"/>
        <v>2.2208609548179936E-3</v>
      </c>
      <c r="X138" s="327">
        <f t="shared" si="58"/>
        <v>1479.6514443235064</v>
      </c>
      <c r="Y138" s="327">
        <f t="shared" si="42"/>
        <v>232.89436949033646</v>
      </c>
      <c r="Z138" s="107">
        <f>IF(H138&gt;0, rate1(1,$L$52,$L$51,$L$54,U138,$L$53,$L$50,Y138),"")</f>
        <v>2340.6502133697986</v>
      </c>
      <c r="AA138" s="335">
        <f t="shared" si="59"/>
        <v>0.76540496021752624</v>
      </c>
      <c r="AB138" s="335">
        <f t="shared" si="60"/>
        <v>9.466785644220219E-3</v>
      </c>
      <c r="AC138" s="327">
        <f t="shared" si="61"/>
        <v>0.28796352473723397</v>
      </c>
      <c r="AD138" s="327">
        <f t="shared" si="62"/>
        <v>6.9453240712517156E-2</v>
      </c>
      <c r="AE138" s="327">
        <f t="shared" si="63"/>
        <v>-5.1514023494401047E-2</v>
      </c>
      <c r="AF138" s="327">
        <f t="shared" si="64"/>
        <v>1500.9434219102009</v>
      </c>
      <c r="AG138" s="327">
        <f t="shared" si="65"/>
        <v>1487.8574806643408</v>
      </c>
      <c r="AH138" s="327">
        <f t="shared" si="66"/>
        <v>8.7041694303038355</v>
      </c>
      <c r="AI138" s="327">
        <f t="shared" si="67"/>
        <v>122.99587764551298</v>
      </c>
      <c r="AJ138" s="327">
        <f t="shared" si="68"/>
        <v>1.2325884041312065</v>
      </c>
      <c r="AK138" s="336">
        <f t="shared" si="69"/>
        <v>5.728202063339161</v>
      </c>
      <c r="AL138" s="42">
        <f t="shared" si="70"/>
        <v>7.9728677531151844</v>
      </c>
      <c r="BA138" s="8"/>
    </row>
    <row r="139" spans="1:53" x14ac:dyDescent="0.25">
      <c r="A139" s="115"/>
      <c r="B139" s="327">
        <f t="shared" si="43"/>
        <v>1500.9434219102009</v>
      </c>
      <c r="C139" s="327">
        <f t="shared" si="44"/>
        <v>1487.8574806643408</v>
      </c>
      <c r="D139" s="327">
        <f t="shared" si="45"/>
        <v>8.7041694303038355</v>
      </c>
      <c r="E139" s="327">
        <f t="shared" si="36"/>
        <v>50.224703669948696</v>
      </c>
      <c r="F139" s="327">
        <f t="shared" si="46"/>
        <v>49.810466556913973</v>
      </c>
      <c r="G139" s="327">
        <f t="shared" si="47"/>
        <v>3428.4951480358009</v>
      </c>
      <c r="H139" s="312">
        <f t="shared" si="37"/>
        <v>0.02</v>
      </c>
      <c r="I139" s="327">
        <f t="shared" si="48"/>
        <v>7.8515647475160675</v>
      </c>
      <c r="J139" s="327">
        <f t="shared" si="38"/>
        <v>1848</v>
      </c>
      <c r="K139" s="334">
        <f t="shared" si="49"/>
        <v>1</v>
      </c>
      <c r="L139" s="322">
        <f t="shared" si="50"/>
        <v>8.7241694303038351</v>
      </c>
      <c r="M139" s="322">
        <f t="shared" si="51"/>
        <v>8.7141694303038353</v>
      </c>
      <c r="N139" s="327">
        <f t="shared" si="52"/>
        <v>6.2407578720268475E-2</v>
      </c>
      <c r="O139" s="327">
        <f t="shared" si="39"/>
        <v>0.81987313487161606</v>
      </c>
      <c r="P139" s="331">
        <f t="shared" si="41"/>
        <v>234.17345974383474</v>
      </c>
      <c r="Q139" s="327">
        <f t="shared" si="53"/>
        <v>1596.5615834327496</v>
      </c>
      <c r="R139" s="276">
        <f>IF(H139&gt;0, rate1(1,$L$52,$L$51,$L$54,L139,$L$53,$L$50,P139),"")</f>
        <v>2342.0644841849048</v>
      </c>
      <c r="S139" s="322">
        <f t="shared" si="54"/>
        <v>0.83145772134636453</v>
      </c>
      <c r="T139" s="322">
        <f t="shared" si="55"/>
        <v>0.37027847979034273</v>
      </c>
      <c r="U139" s="327">
        <f t="shared" si="40"/>
        <v>8.7041694303038355</v>
      </c>
      <c r="V139" s="335">
        <f t="shared" si="56"/>
        <v>8.7041694303038355</v>
      </c>
      <c r="W139" s="327">
        <f t="shared" si="57"/>
        <v>2.2314767572169103E-3</v>
      </c>
      <c r="X139" s="327">
        <f t="shared" si="58"/>
        <v>1556.4047643013632</v>
      </c>
      <c r="Y139" s="327">
        <f t="shared" si="42"/>
        <v>233.63631366697322</v>
      </c>
      <c r="Z139" s="107">
        <f>IF(H139&gt;0, rate1(1,$L$52,$L$51,$L$54,U139,$L$53,$L$50,Y139),"")</f>
        <v>2341.4722480000164</v>
      </c>
      <c r="AA139" s="335">
        <f t="shared" si="59"/>
        <v>0.81074985726453286</v>
      </c>
      <c r="AB139" s="335">
        <f t="shared" si="60"/>
        <v>1.1791149665530539E-2</v>
      </c>
      <c r="AC139" s="327">
        <f t="shared" si="61"/>
        <v>0.37027847979034273</v>
      </c>
      <c r="AD139" s="327">
        <f t="shared" si="62"/>
        <v>5.4013400971410226E-2</v>
      </c>
      <c r="AE139" s="327">
        <f t="shared" si="63"/>
        <v>-4.6912350275148944E-2</v>
      </c>
      <c r="AF139" s="327">
        <f t="shared" si="64"/>
        <v>1500.6355510091307</v>
      </c>
      <c r="AG139" s="327">
        <f t="shared" si="65"/>
        <v>1487.4872021845504</v>
      </c>
      <c r="AH139" s="327">
        <f t="shared" si="66"/>
        <v>8.7249000764002815</v>
      </c>
      <c r="AI139" s="327">
        <f t="shared" si="67"/>
        <v>158.09918227730122</v>
      </c>
      <c r="AJ139" s="327">
        <f t="shared" si="68"/>
        <v>1.2765048436526791</v>
      </c>
      <c r="AK139" s="336">
        <f t="shared" si="69"/>
        <v>6.1403924477959588</v>
      </c>
      <c r="AL139" s="42">
        <f t="shared" si="70"/>
        <v>8.2001641350040924</v>
      </c>
      <c r="BA139" s="8"/>
    </row>
    <row r="140" spans="1:53" x14ac:dyDescent="0.25">
      <c r="A140" s="115"/>
      <c r="B140" s="327">
        <f t="shared" si="43"/>
        <v>1500.6355510091307</v>
      </c>
      <c r="C140" s="327">
        <f t="shared" si="44"/>
        <v>1487.4872021845504</v>
      </c>
      <c r="D140" s="327">
        <f t="shared" si="45"/>
        <v>8.7249000764002815</v>
      </c>
      <c r="E140" s="327">
        <f t="shared" si="36"/>
        <v>51.24410497687721</v>
      </c>
      <c r="F140" s="327">
        <f t="shared" si="46"/>
        <v>50.734404323412953</v>
      </c>
      <c r="G140" s="327">
        <f t="shared" si="47"/>
        <v>3505.0035072340179</v>
      </c>
      <c r="H140" s="312">
        <f t="shared" si="37"/>
        <v>0.01</v>
      </c>
      <c r="I140" s="327">
        <f t="shared" si="48"/>
        <v>7.8890092947482113</v>
      </c>
      <c r="J140" s="327">
        <f t="shared" si="38"/>
        <v>1848</v>
      </c>
      <c r="K140" s="334">
        <f t="shared" si="49"/>
        <v>1</v>
      </c>
      <c r="L140" s="322">
        <f t="shared" si="50"/>
        <v>8.7349000764002813</v>
      </c>
      <c r="M140" s="322">
        <f t="shared" si="51"/>
        <v>8.7299000764002805</v>
      </c>
      <c r="N140" s="327">
        <f t="shared" si="52"/>
        <v>3.239315219985528E-2</v>
      </c>
      <c r="O140" s="327">
        <f t="shared" si="39"/>
        <v>0.81224894906193623</v>
      </c>
      <c r="P140" s="331">
        <f t="shared" si="41"/>
        <v>234.6476217195343</v>
      </c>
      <c r="Q140" s="327">
        <f t="shared" si="53"/>
        <v>1685.5423594933732</v>
      </c>
      <c r="R140" s="276">
        <f>IF(H140&gt;0, rate1(1,$L$52,$L$51,$L$54,L140,$L$53,$L$50,P140),"")</f>
        <v>2342.5852708272591</v>
      </c>
      <c r="S140" s="322">
        <f t="shared" si="54"/>
        <v>0.88583962871667288</v>
      </c>
      <c r="T140" s="322">
        <f t="shared" si="55"/>
        <v>0.28375128633263502</v>
      </c>
      <c r="U140" s="327">
        <f t="shared" si="40"/>
        <v>8.7249000764002815</v>
      </c>
      <c r="V140" s="335">
        <f t="shared" si="56"/>
        <v>8.7249000764002815</v>
      </c>
      <c r="W140" s="327">
        <f t="shared" si="57"/>
        <v>2.2421187934931197E-3</v>
      </c>
      <c r="X140" s="327">
        <f t="shared" si="58"/>
        <v>1644.3882840183282</v>
      </c>
      <c r="Y140" s="327">
        <f t="shared" si="42"/>
        <v>234.37891254402319</v>
      </c>
      <c r="Z140" s="107">
        <f>IF(H140&gt;0, rate1(1,$L$52,$L$51,$L$54,U140,$L$53,$L$50,Y140),"")</f>
        <v>2342.2903695653463</v>
      </c>
      <c r="AA140" s="335">
        <f t="shared" si="59"/>
        <v>0.86431984168514053</v>
      </c>
      <c r="AB140" s="335">
        <f t="shared" si="60"/>
        <v>1.6525030788142634E-2</v>
      </c>
      <c r="AC140" s="327">
        <f t="shared" si="61"/>
        <v>0.28375128633263502</v>
      </c>
      <c r="AD140" s="327">
        <f t="shared" si="62"/>
        <v>3.5242130984658282E-2</v>
      </c>
      <c r="AE140" s="327">
        <f t="shared" si="63"/>
        <v>-5.7401882785935367E-2</v>
      </c>
      <c r="AF140" s="327">
        <f t="shared" si="64"/>
        <v>1500.384192874998</v>
      </c>
      <c r="AG140" s="327">
        <f t="shared" si="65"/>
        <v>1487.2034508982176</v>
      </c>
      <c r="AH140" s="327">
        <f t="shared" si="66"/>
        <v>8.7356410887991132</v>
      </c>
      <c r="AI140" s="327">
        <f t="shared" si="67"/>
        <v>121.12740990317559</v>
      </c>
      <c r="AJ140" s="327">
        <f t="shared" si="68"/>
        <v>1.3101513464035612</v>
      </c>
      <c r="AK140" s="336">
        <f t="shared" si="69"/>
        <v>6.6824347271421134</v>
      </c>
      <c r="AL140" s="42">
        <f t="shared" si="70"/>
        <v>8.4923314238525442</v>
      </c>
      <c r="BA140" s="8"/>
    </row>
    <row r="141" spans="1:53" x14ac:dyDescent="0.25">
      <c r="A141" s="115"/>
      <c r="B141" s="327">
        <f t="shared" si="43"/>
        <v>1500.384192874998</v>
      </c>
      <c r="C141" s="327">
        <f t="shared" si="44"/>
        <v>1487.2034508982176</v>
      </c>
      <c r="D141" s="327">
        <f t="shared" si="45"/>
        <v>8.7356410887991132</v>
      </c>
      <c r="E141" s="327">
        <f t="shared" si="36"/>
        <v>51.985754591262101</v>
      </c>
      <c r="F141" s="327">
        <f t="shared" si="46"/>
        <v>51.614929784069659</v>
      </c>
      <c r="G141" s="327">
        <f t="shared" si="47"/>
        <v>3579.0054601794782</v>
      </c>
      <c r="H141" s="312">
        <f t="shared" si="37"/>
        <v>0.01</v>
      </c>
      <c r="I141" s="327">
        <f t="shared" si="48"/>
        <v>7.9084451860682288</v>
      </c>
      <c r="J141" s="327">
        <f t="shared" si="38"/>
        <v>1848</v>
      </c>
      <c r="K141" s="334">
        <f t="shared" si="49"/>
        <v>1</v>
      </c>
      <c r="L141" s="322">
        <f t="shared" si="50"/>
        <v>8.7456410887991129</v>
      </c>
      <c r="M141" s="322">
        <f t="shared" si="51"/>
        <v>8.7406410887991122</v>
      </c>
      <c r="N141" s="327">
        <f t="shared" si="52"/>
        <v>3.2435783605432533E-2</v>
      </c>
      <c r="O141" s="327">
        <f t="shared" si="39"/>
        <v>0.80184946672018587</v>
      </c>
      <c r="P141" s="331">
        <f t="shared" si="41"/>
        <v>235.03272111382299</v>
      </c>
      <c r="Q141" s="327">
        <f t="shared" si="53"/>
        <v>1749.9306340508238</v>
      </c>
      <c r="R141" s="276">
        <f>IF(H141&gt;0, rate1(1,$L$52,$L$51,$L$54,L141,$L$53,$L$50,P141),"")</f>
        <v>2343.006860538761</v>
      </c>
      <c r="S141" s="322">
        <f t="shared" si="54"/>
        <v>0.93143902309296345</v>
      </c>
      <c r="T141" s="322">
        <f t="shared" si="55"/>
        <v>0.47309395327626352</v>
      </c>
      <c r="U141" s="327">
        <f t="shared" si="40"/>
        <v>8.7356410887991132</v>
      </c>
      <c r="V141" s="335">
        <f t="shared" si="56"/>
        <v>8.7356410887991132</v>
      </c>
      <c r="W141" s="327">
        <f t="shared" si="57"/>
        <v>2.2476426274131711E-3</v>
      </c>
      <c r="X141" s="327">
        <f t="shared" si="58"/>
        <v>1718.1389384706517</v>
      </c>
      <c r="Y141" s="327">
        <f t="shared" si="42"/>
        <v>234.76390159061131</v>
      </c>
      <c r="Z141" s="107">
        <f>IF(H141&gt;0, rate1(1,$L$52,$L$51,$L$54,U141,$L$53,$L$50,Y141),"")</f>
        <v>2342.7126986290696</v>
      </c>
      <c r="AA141" s="335">
        <f t="shared" si="59"/>
        <v>0.91463202574399716</v>
      </c>
      <c r="AB141" s="335">
        <f t="shared" si="60"/>
        <v>2.6328873878076392E-2</v>
      </c>
      <c r="AC141" s="327">
        <f t="shared" si="61"/>
        <v>0.47309395327626352</v>
      </c>
      <c r="AD141" s="327">
        <f t="shared" si="62"/>
        <v>2.1137450459360434E-2</v>
      </c>
      <c r="AE141" s="327">
        <f t="shared" si="63"/>
        <v>-3.7272297656483835E-2</v>
      </c>
      <c r="AF141" s="327">
        <f t="shared" si="64"/>
        <v>1499.9435347053272</v>
      </c>
      <c r="AG141" s="327">
        <f t="shared" si="65"/>
        <v>1486.7303569449414</v>
      </c>
      <c r="AH141" s="327">
        <f t="shared" si="66"/>
        <v>8.7463830204775359</v>
      </c>
      <c r="AI141" s="327">
        <f t="shared" si="67"/>
        <v>201.91744260086301</v>
      </c>
      <c r="AJ141" s="327">
        <f t="shared" si="68"/>
        <v>1.3662395249038011</v>
      </c>
      <c r="AK141" s="336">
        <f t="shared" si="69"/>
        <v>7.1069867236749165</v>
      </c>
      <c r="AL141" s="42">
        <f t="shared" si="70"/>
        <v>8.7161748773536125</v>
      </c>
      <c r="BA141" s="8"/>
    </row>
    <row r="142" spans="1:53" x14ac:dyDescent="0.25">
      <c r="A142" s="115"/>
      <c r="B142" s="327">
        <f t="shared" si="43"/>
        <v>1499.9435347053272</v>
      </c>
      <c r="C142" s="327">
        <f t="shared" si="44"/>
        <v>1486.7303569449414</v>
      </c>
      <c r="D142" s="327">
        <f t="shared" si="45"/>
        <v>8.7463830204775359</v>
      </c>
      <c r="E142" s="327">
        <f t="shared" si="36"/>
        <v>53.164660128489494</v>
      </c>
      <c r="F142" s="327">
        <f t="shared" si="46"/>
        <v>52.575207359875797</v>
      </c>
      <c r="G142" s="327">
        <f t="shared" si="47"/>
        <v>3652.7800476716629</v>
      </c>
      <c r="H142" s="312">
        <f t="shared" si="37"/>
        <v>5.0000000000000001E-3</v>
      </c>
      <c r="I142" s="327">
        <f t="shared" si="48"/>
        <v>7.9279066562315164</v>
      </c>
      <c r="J142" s="327">
        <f t="shared" si="38"/>
        <v>1848</v>
      </c>
      <c r="K142" s="334">
        <f t="shared" si="49"/>
        <v>1</v>
      </c>
      <c r="L142" s="322">
        <f t="shared" si="50"/>
        <v>8.7513830204775367</v>
      </c>
      <c r="M142" s="322">
        <f t="shared" si="51"/>
        <v>8.7488830204775354</v>
      </c>
      <c r="N142" s="327">
        <f t="shared" si="52"/>
        <v>1.7363640371652167E-2</v>
      </c>
      <c r="O142" s="327">
        <f t="shared" si="39"/>
        <v>0.79335891282801108</v>
      </c>
      <c r="P142" s="331">
        <f t="shared" si="41"/>
        <v>235.28352742785347</v>
      </c>
      <c r="Q142" s="327">
        <f t="shared" si="53"/>
        <v>1841.9411732054768</v>
      </c>
      <c r="R142" s="276">
        <f>IF(H142&gt;0, rate1(1,$L$52,$L$51,$L$54,L142,$L$53,$L$50,P142),"")</f>
        <v>2343.2807713590582</v>
      </c>
      <c r="S142" s="322">
        <f t="shared" si="54"/>
        <v>0.99079024491918222</v>
      </c>
      <c r="T142" s="322">
        <f t="shared" si="55"/>
        <v>1.8853531086638144</v>
      </c>
      <c r="U142" s="327">
        <f t="shared" si="40"/>
        <v>8.7463830204775359</v>
      </c>
      <c r="V142" s="335">
        <f t="shared" si="56"/>
        <v>8.7463830204775359</v>
      </c>
      <c r="W142" s="327">
        <f t="shared" si="57"/>
        <v>2.2531737310558242E-3</v>
      </c>
      <c r="X142" s="327">
        <f t="shared" si="58"/>
        <v>1797.9024270497544</v>
      </c>
      <c r="Y142" s="327">
        <f t="shared" si="42"/>
        <v>235.14908174452827</v>
      </c>
      <c r="Z142" s="107">
        <f>IF(H142&gt;0, rate1(1,$L$52,$L$51,$L$54,U142,$L$53,$L$50,Y142),"")</f>
        <v>2343.1340051103994</v>
      </c>
      <c r="AA142" s="335">
        <f t="shared" si="59"/>
        <v>0.96716213825084107</v>
      </c>
      <c r="AB142" s="335">
        <f t="shared" si="60"/>
        <v>6.8615117155535699E-2</v>
      </c>
      <c r="AC142" s="327">
        <f t="shared" si="61"/>
        <v>0.51797275544336951</v>
      </c>
      <c r="AD142" s="327">
        <f t="shared" si="62"/>
        <v>9.6530173594171886E-3</v>
      </c>
      <c r="AE142" s="327">
        <f t="shared" si="63"/>
        <v>-2.3175903294703697E-2</v>
      </c>
      <c r="AF142" s="327">
        <f t="shared" si="64"/>
        <v>1499.4429255902555</v>
      </c>
      <c r="AG142" s="327">
        <f t="shared" si="65"/>
        <v>1486.2123841894979</v>
      </c>
      <c r="AH142" s="327">
        <f t="shared" si="66"/>
        <v>8.7521280120104592</v>
      </c>
      <c r="AI142" s="327">
        <f t="shared" si="67"/>
        <v>221.04596332387226</v>
      </c>
      <c r="AJ142" s="327">
        <f t="shared" si="68"/>
        <v>1.4276411813826544</v>
      </c>
      <c r="AK142" s="336">
        <f t="shared" si="69"/>
        <v>7.8296503532488817</v>
      </c>
      <c r="AL142" s="42">
        <f t="shared" si="70"/>
        <v>9.0893183112800067</v>
      </c>
      <c r="BA142" s="8"/>
    </row>
    <row r="143" spans="1:53" x14ac:dyDescent="0.25">
      <c r="A143" s="115"/>
      <c r="B143" s="327">
        <f t="shared" si="43"/>
        <v>1499.4429255902555</v>
      </c>
      <c r="C143" s="327">
        <f t="shared" si="44"/>
        <v>1486.2123841894979</v>
      </c>
      <c r="D143" s="327">
        <f t="shared" si="45"/>
        <v>8.7521280120104592</v>
      </c>
      <c r="E143" s="327">
        <f t="shared" si="36"/>
        <v>54.402362270340419</v>
      </c>
      <c r="F143" s="327">
        <f t="shared" si="46"/>
        <v>53.78351119941496</v>
      </c>
      <c r="G143" s="327">
        <f t="shared" si="47"/>
        <v>3731.2828930702772</v>
      </c>
      <c r="H143" s="312">
        <f t="shared" si="37"/>
        <v>5.0000000000000001E-3</v>
      </c>
      <c r="I143" s="327">
        <f t="shared" si="48"/>
        <v>7.9383248404545608</v>
      </c>
      <c r="J143" s="327">
        <f t="shared" si="38"/>
        <v>1848</v>
      </c>
      <c r="K143" s="334">
        <f t="shared" si="49"/>
        <v>-1</v>
      </c>
      <c r="L143" s="322">
        <f t="shared" si="50"/>
        <v>8.7471280120104584</v>
      </c>
      <c r="M143" s="322">
        <f t="shared" si="51"/>
        <v>8.7496280120104579</v>
      </c>
      <c r="N143" s="327">
        <f t="shared" si="52"/>
        <v>-1.2859937305421454E-2</v>
      </c>
      <c r="O143" s="327">
        <f t="shared" si="39"/>
        <v>0.77847404765137285</v>
      </c>
      <c r="P143" s="331">
        <f t="shared" si="41"/>
        <v>235.22071161122847</v>
      </c>
      <c r="Q143" s="327">
        <f t="shared" si="53"/>
        <v>1928.809659364676</v>
      </c>
      <c r="R143" s="276">
        <f>IF(H143&gt;0, rate1(1,$L$52,$L$51,$L$54,L143,$L$53,$L$50,P143),"")</f>
        <v>2343.2122177118677</v>
      </c>
      <c r="S143" s="322">
        <f t="shared" si="54"/>
        <v>1.0573861322911808</v>
      </c>
      <c r="T143" s="322">
        <f t="shared" si="55"/>
        <v>0.22409486041277926</v>
      </c>
      <c r="U143" s="327">
        <f t="shared" si="40"/>
        <v>8.7521280120104592</v>
      </c>
      <c r="V143" s="335">
        <f t="shared" si="56"/>
        <v>8.7521280120104592</v>
      </c>
      <c r="W143" s="327">
        <f t="shared" si="57"/>
        <v>2.2561346613407807E-3</v>
      </c>
      <c r="X143" s="327">
        <f t="shared" si="58"/>
        <v>1889.0482601607105</v>
      </c>
      <c r="Y143" s="327">
        <f t="shared" si="42"/>
        <v>235.35514836424005</v>
      </c>
      <c r="Z143" s="107">
        <f>IF(H143&gt;0, rate1(1,$L$52,$L$51,$L$54,U143,$L$53,$L$50,Y143),"")</f>
        <v>2343.3588946610057</v>
      </c>
      <c r="AA143" s="335">
        <f t="shared" si="59"/>
        <v>1.0355238517195433</v>
      </c>
      <c r="AB143" s="335">
        <f t="shared" si="60"/>
        <v>-6.3510417709000205E-2</v>
      </c>
      <c r="AC143" s="327">
        <f t="shared" si="61"/>
        <v>0.22409486041277926</v>
      </c>
      <c r="AD143" s="327">
        <f t="shared" si="62"/>
        <v>-2.2311979805293515E-2</v>
      </c>
      <c r="AE143" s="327">
        <f t="shared" si="63"/>
        <v>-8.6151171353385625E-2</v>
      </c>
      <c r="AF143" s="327">
        <f t="shared" si="64"/>
        <v>1499.2059707925373</v>
      </c>
      <c r="AG143" s="327">
        <f t="shared" si="65"/>
        <v>1485.9882893290851</v>
      </c>
      <c r="AH143" s="327">
        <f t="shared" si="66"/>
        <v>8.7478734929704594</v>
      </c>
      <c r="AI143" s="327">
        <f t="shared" si="67"/>
        <v>95.635751093687333</v>
      </c>
      <c r="AJ143" s="327">
        <f t="shared" si="68"/>
        <v>1.4542066677975676</v>
      </c>
      <c r="AK143" s="336">
        <f t="shared" si="69"/>
        <v>8.6370826376966843</v>
      </c>
      <c r="AL143" s="42">
        <f t="shared" si="70"/>
        <v>9.4978112515025224</v>
      </c>
      <c r="BA143" s="8"/>
    </row>
    <row r="144" spans="1:53" x14ac:dyDescent="0.25">
      <c r="A144" s="115"/>
      <c r="B144" s="327">
        <f t="shared" si="43"/>
        <v>1499.2059707925373</v>
      </c>
      <c r="C144" s="327">
        <f t="shared" si="44"/>
        <v>1485.9882893290851</v>
      </c>
      <c r="D144" s="327">
        <f t="shared" si="45"/>
        <v>8.7478734929704594</v>
      </c>
      <c r="E144" s="327">
        <f t="shared" si="36"/>
        <v>54.887288426768094</v>
      </c>
      <c r="F144" s="327">
        <f t="shared" si="46"/>
        <v>54.644825348554257</v>
      </c>
      <c r="G144" s="327">
        <f t="shared" si="47"/>
        <v>3785.5083087933558</v>
      </c>
      <c r="H144" s="312">
        <f t="shared" si="37"/>
        <v>5.0000000000000001E-3</v>
      </c>
      <c r="I144" s="327">
        <f t="shared" si="48"/>
        <v>7.9306088780713253</v>
      </c>
      <c r="J144" s="327">
        <f t="shared" si="38"/>
        <v>1848</v>
      </c>
      <c r="K144" s="334">
        <f t="shared" si="49"/>
        <v>-1</v>
      </c>
      <c r="L144" s="322">
        <f t="shared" si="50"/>
        <v>8.7428734929704586</v>
      </c>
      <c r="M144" s="322">
        <f t="shared" si="51"/>
        <v>8.7453734929704581</v>
      </c>
      <c r="N144" s="327">
        <f t="shared" si="52"/>
        <v>-1.2854781081394151E-2</v>
      </c>
      <c r="O144" s="327">
        <f t="shared" si="39"/>
        <v>0.76156411678680769</v>
      </c>
      <c r="P144" s="331">
        <f t="shared" si="41"/>
        <v>235.06812412302568</v>
      </c>
      <c r="Q144" s="327">
        <f t="shared" si="53"/>
        <v>1956.919150907564</v>
      </c>
      <c r="R144" s="276">
        <f>IF(H144&gt;0, rate1(1,$L$52,$L$51,$L$54,L144,$L$53,$L$50,P144),"")</f>
        <v>2343.0455564506838</v>
      </c>
      <c r="S144" s="322">
        <f t="shared" si="54"/>
        <v>1.0966945309973859</v>
      </c>
      <c r="T144" s="322">
        <f t="shared" si="55"/>
        <v>0.13294217313843401</v>
      </c>
      <c r="U144" s="327">
        <f t="shared" si="40"/>
        <v>8.7478734929704594</v>
      </c>
      <c r="V144" s="335">
        <f t="shared" si="56"/>
        <v>8.7478734929704594</v>
      </c>
      <c r="W144" s="327">
        <f t="shared" si="57"/>
        <v>2.253941723857622E-3</v>
      </c>
      <c r="X144" s="327">
        <f t="shared" si="58"/>
        <v>1943.360624610857</v>
      </c>
      <c r="Y144" s="327">
        <f t="shared" si="42"/>
        <v>235.20253903580092</v>
      </c>
      <c r="Z144" s="107">
        <f>IF(H144&gt;0, rate1(1,$L$52,$L$51,$L$54,U144,$L$53,$L$50,Y144),"")</f>
        <v>2343.1923791050858</v>
      </c>
      <c r="AA144" s="335">
        <f t="shared" si="59"/>
        <v>1.0890278343041855</v>
      </c>
      <c r="AB144" s="335">
        <f t="shared" si="60"/>
        <v>-2.5317270059119667E-2</v>
      </c>
      <c r="AC144" s="327">
        <f t="shared" si="61"/>
        <v>0.13294217313843401</v>
      </c>
      <c r="AD144" s="327">
        <f t="shared" si="62"/>
        <v>-3.7610337502106649E-2</v>
      </c>
      <c r="AE144" s="327">
        <f t="shared" si="63"/>
        <v>-8.569619540387953E-2</v>
      </c>
      <c r="AF144" s="327">
        <f t="shared" si="64"/>
        <v>1499.0601738383175</v>
      </c>
      <c r="AG144" s="327">
        <f t="shared" si="65"/>
        <v>1485.8553471559467</v>
      </c>
      <c r="AH144" s="327">
        <f t="shared" si="66"/>
        <v>8.7436186108478875</v>
      </c>
      <c r="AI144" s="327">
        <f t="shared" si="67"/>
        <v>56.739047506963047</v>
      </c>
      <c r="AJ144" s="327">
        <f t="shared" si="68"/>
        <v>1.4699675143272795</v>
      </c>
      <c r="AK144" s="336">
        <f t="shared" si="69"/>
        <v>8.993926679718486</v>
      </c>
      <c r="AL144" s="42">
        <f t="shared" si="70"/>
        <v>9.6745461195236562</v>
      </c>
      <c r="BA144" s="8"/>
    </row>
    <row r="145" spans="1:53" x14ac:dyDescent="0.25">
      <c r="A145" s="115"/>
      <c r="B145" s="327">
        <f t="shared" si="43"/>
        <v>1499.0601738383175</v>
      </c>
      <c r="C145" s="327">
        <f t="shared" si="44"/>
        <v>1485.8553471559467</v>
      </c>
      <c r="D145" s="327">
        <f t="shared" si="45"/>
        <v>8.7436186108478875</v>
      </c>
      <c r="E145" s="327">
        <f t="shared" si="36"/>
        <v>55.161848688024619</v>
      </c>
      <c r="F145" s="327">
        <f t="shared" si="46"/>
        <v>55.024568557396357</v>
      </c>
      <c r="G145" s="327">
        <f t="shared" si="47"/>
        <v>3806.2523717154263</v>
      </c>
      <c r="H145" s="312">
        <f t="shared" si="37"/>
        <v>5.0000000000000001E-3</v>
      </c>
      <c r="I145" s="327">
        <f t="shared" si="48"/>
        <v>7.9228960094224927</v>
      </c>
      <c r="J145" s="327">
        <f t="shared" si="38"/>
        <v>1848</v>
      </c>
      <c r="K145" s="334">
        <f t="shared" si="49"/>
        <v>-1</v>
      </c>
      <c r="L145" s="322">
        <f t="shared" si="50"/>
        <v>8.7386186108478867</v>
      </c>
      <c r="M145" s="322">
        <f t="shared" si="51"/>
        <v>8.741118610847888</v>
      </c>
      <c r="N145" s="327">
        <f t="shared" si="52"/>
        <v>-1.284962335091322E-2</v>
      </c>
      <c r="O145" s="327">
        <f t="shared" si="39"/>
        <v>0.75356008903979343</v>
      </c>
      <c r="P145" s="331">
        <f t="shared" si="41"/>
        <v>234.91554841112105</v>
      </c>
      <c r="Q145" s="327">
        <f t="shared" si="53"/>
        <v>1970.3736484225342</v>
      </c>
      <c r="R145" s="276">
        <f>IF(H145&gt;0, rate1(1,$L$52,$L$51,$L$54,L145,$L$53,$L$50,P145),"")</f>
        <v>2342.8787153194776</v>
      </c>
      <c r="S145" s="322">
        <f t="shared" si="54"/>
        <v>1.116042915590916</v>
      </c>
      <c r="T145" s="322">
        <f t="shared" si="55"/>
        <v>0.11073164859293755</v>
      </c>
      <c r="U145" s="327">
        <f t="shared" si="40"/>
        <v>8.7436186108478875</v>
      </c>
      <c r="V145" s="335">
        <f t="shared" si="56"/>
        <v>8.7436186108478875</v>
      </c>
      <c r="W145" s="327">
        <f t="shared" si="57"/>
        <v>2.2517496656249136E-3</v>
      </c>
      <c r="X145" s="327">
        <f t="shared" si="58"/>
        <v>1964.1399408017046</v>
      </c>
      <c r="Y145" s="327">
        <f t="shared" si="42"/>
        <v>235.04994147471672</v>
      </c>
      <c r="Z145" s="107">
        <f>IF(H145&gt;0, rate1(1,$L$52,$L$51,$L$54,U145,$L$53,$L$50,Y145),"")</f>
        <v>2343.0256838952605</v>
      </c>
      <c r="AA145" s="335">
        <f t="shared" si="59"/>
        <v>1.1124422865327457</v>
      </c>
      <c r="AB145" s="335">
        <f t="shared" si="60"/>
        <v>-2.0025826004251117E-2</v>
      </c>
      <c r="AC145" s="327">
        <f t="shared" si="61"/>
        <v>0.11073164859293755</v>
      </c>
      <c r="AD145" s="327">
        <f t="shared" si="62"/>
        <v>-4.5154208968572147E-2</v>
      </c>
      <c r="AE145" s="327">
        <f t="shared" si="63"/>
        <v>-6.1917783476814654E-2</v>
      </c>
      <c r="AF145" s="327">
        <f t="shared" si="64"/>
        <v>1498.9365925663737</v>
      </c>
      <c r="AG145" s="327">
        <f t="shared" si="65"/>
        <v>1485.7446155073537</v>
      </c>
      <c r="AH145" s="327">
        <f t="shared" si="66"/>
        <v>8.7393633656114638</v>
      </c>
      <c r="AI145" s="327">
        <f t="shared" si="67"/>
        <v>47.263073358809379</v>
      </c>
      <c r="AJ145" s="327">
        <f t="shared" si="68"/>
        <v>1.4830961458158376</v>
      </c>
      <c r="AK145" s="336">
        <f t="shared" si="69"/>
        <v>9.2087128154891165</v>
      </c>
      <c r="AL145" s="42">
        <f t="shared" si="70"/>
        <v>9.7793998793165233</v>
      </c>
      <c r="BA145" s="8"/>
    </row>
    <row r="146" spans="1:53" x14ac:dyDescent="0.25">
      <c r="A146" s="115"/>
      <c r="B146" s="327">
        <f t="shared" si="43"/>
        <v>1498.9365925663737</v>
      </c>
      <c r="C146" s="327">
        <f t="shared" si="44"/>
        <v>1485.7446155073537</v>
      </c>
      <c r="D146" s="327">
        <f t="shared" si="45"/>
        <v>8.7393633656114638</v>
      </c>
      <c r="E146" s="327">
        <f t="shared" si="36"/>
        <v>55.384989351831834</v>
      </c>
      <c r="F146" s="327">
        <f t="shared" si="46"/>
        <v>55.273419019928227</v>
      </c>
      <c r="G146" s="327">
        <f t="shared" si="47"/>
        <v>3798.2349189085949</v>
      </c>
      <c r="H146" s="312">
        <f t="shared" si="37"/>
        <v>0.02</v>
      </c>
      <c r="I146" s="327">
        <f t="shared" si="48"/>
        <v>7.9151862354120111</v>
      </c>
      <c r="J146" s="327">
        <f t="shared" si="38"/>
        <v>1848</v>
      </c>
      <c r="K146" s="334">
        <f t="shared" si="49"/>
        <v>-1</v>
      </c>
      <c r="L146" s="322">
        <f t="shared" si="50"/>
        <v>8.7193633656114642</v>
      </c>
      <c r="M146" s="322">
        <f t="shared" si="51"/>
        <v>8.729363365611464</v>
      </c>
      <c r="N146" s="327">
        <f t="shared" si="52"/>
        <v>-5.810062124923121E-2</v>
      </c>
      <c r="O146" s="327">
        <f t="shared" si="39"/>
        <v>0.74863525578787016</v>
      </c>
      <c r="P146" s="331">
        <f t="shared" si="41"/>
        <v>234.36010153637528</v>
      </c>
      <c r="Q146" s="327">
        <f t="shared" si="53"/>
        <v>1970.3731109601567</v>
      </c>
      <c r="R146" s="276">
        <f>IF(H146&gt;0, rate1(1,$L$52,$L$51,$L$54,L146,$L$53,$L$50,P146),"")</f>
        <v>2342.2697024355825</v>
      </c>
      <c r="S146" s="322">
        <f t="shared" si="54"/>
        <v>1.1236764932659546</v>
      </c>
      <c r="T146" s="322">
        <f t="shared" si="55"/>
        <v>0.46977901551826262</v>
      </c>
      <c r="U146" s="327">
        <f t="shared" si="40"/>
        <v>8.7393633656114638</v>
      </c>
      <c r="V146" s="335">
        <f t="shared" si="56"/>
        <v>8.7393633656114638</v>
      </c>
      <c r="W146" s="327">
        <f t="shared" si="57"/>
        <v>2.2495584869162144E-3</v>
      </c>
      <c r="X146" s="327">
        <f t="shared" si="58"/>
        <v>1975.7922739235346</v>
      </c>
      <c r="Y146" s="327">
        <f t="shared" si="42"/>
        <v>234.89735569424806</v>
      </c>
      <c r="Z146" s="107">
        <f>IF(H146&gt;0, rate1(1,$L$52,$L$51,$L$54,U146,$L$53,$L$50,Y146),"")</f>
        <v>2342.8588087566295</v>
      </c>
      <c r="AA146" s="335">
        <f t="shared" si="59"/>
        <v>1.1264836439464256</v>
      </c>
      <c r="AB146" s="335">
        <f t="shared" si="60"/>
        <v>-1.7785370635503308E-2</v>
      </c>
      <c r="AC146" s="327">
        <f t="shared" si="61"/>
        <v>0.46977901551826262</v>
      </c>
      <c r="AD146" s="327">
        <f t="shared" si="62"/>
        <v>-4.2573208549845289E-2</v>
      </c>
      <c r="AE146" s="327">
        <f t="shared" si="63"/>
        <v>8.8921722831002241E-3</v>
      </c>
      <c r="AF146" s="327">
        <f t="shared" si="64"/>
        <v>1498.4087129296063</v>
      </c>
      <c r="AG146" s="327">
        <f t="shared" si="65"/>
        <v>1485.2748364918355</v>
      </c>
      <c r="AH146" s="327">
        <f t="shared" si="66"/>
        <v>8.7200970058405485</v>
      </c>
      <c r="AI146" s="327">
        <f t="shared" si="67"/>
        <v>200.56572265344519</v>
      </c>
      <c r="AJ146" s="327">
        <f t="shared" si="68"/>
        <v>1.5388088465529057</v>
      </c>
      <c r="AK146" s="336">
        <f t="shared" si="69"/>
        <v>9.388608000555644</v>
      </c>
      <c r="AL146" s="42">
        <f t="shared" si="70"/>
        <v>9.8667420388836025</v>
      </c>
      <c r="BA146" s="8"/>
    </row>
    <row r="147" spans="1:53" x14ac:dyDescent="0.25">
      <c r="A147" s="115"/>
      <c r="B147" s="327">
        <f t="shared" si="43"/>
        <v>1498.4087129296063</v>
      </c>
      <c r="C147" s="327">
        <f t="shared" si="44"/>
        <v>1485.2748364918355</v>
      </c>
      <c r="D147" s="327">
        <f t="shared" si="45"/>
        <v>8.7200970058405485</v>
      </c>
      <c r="E147" s="327">
        <f t="shared" si="36"/>
        <v>56.317585979971867</v>
      </c>
      <c r="F147" s="327">
        <f t="shared" si="46"/>
        <v>55.85128766590185</v>
      </c>
      <c r="G147" s="327">
        <f t="shared" si="47"/>
        <v>3812.5595111830758</v>
      </c>
      <c r="H147" s="312">
        <f t="shared" si="37"/>
        <v>0.02</v>
      </c>
      <c r="I147" s="327">
        <f t="shared" si="48"/>
        <v>7.8803258626624935</v>
      </c>
      <c r="J147" s="327">
        <f t="shared" si="38"/>
        <v>1848</v>
      </c>
      <c r="K147" s="334">
        <f t="shared" si="49"/>
        <v>-1</v>
      </c>
      <c r="L147" s="322">
        <f t="shared" si="50"/>
        <v>8.7000970058405489</v>
      </c>
      <c r="M147" s="322">
        <f t="shared" si="51"/>
        <v>8.7100970058405487</v>
      </c>
      <c r="N147" s="327">
        <f t="shared" si="52"/>
        <v>-5.7977407717945795E-2</v>
      </c>
      <c r="O147" s="327">
        <f t="shared" si="39"/>
        <v>0.74446083965798304</v>
      </c>
      <c r="P147" s="331">
        <f t="shared" si="41"/>
        <v>233.66995016514198</v>
      </c>
      <c r="Q147" s="327">
        <f t="shared" si="53"/>
        <v>2009.0172198499795</v>
      </c>
      <c r="R147" s="276">
        <f>IF(H147&gt;0, rate1(1,$L$52,$L$51,$L$54,L147,$L$53,$L$50,P147),"")</f>
        <v>2341.5094053874827</v>
      </c>
      <c r="S147" s="322">
        <f t="shared" si="54"/>
        <v>1.1525131645837317</v>
      </c>
      <c r="T147" s="322">
        <f t="shared" si="55"/>
        <v>0.38014690650599847</v>
      </c>
      <c r="U147" s="327">
        <f t="shared" si="40"/>
        <v>8.7200970058405485</v>
      </c>
      <c r="V147" s="335">
        <f t="shared" si="56"/>
        <v>8.7200970058405485</v>
      </c>
      <c r="W147" s="327">
        <f t="shared" si="57"/>
        <v>2.2396508934647841E-3</v>
      </c>
      <c r="X147" s="327">
        <f t="shared" si="58"/>
        <v>1990.2716699147172</v>
      </c>
      <c r="Y147" s="327">
        <f t="shared" si="42"/>
        <v>234.206807762495</v>
      </c>
      <c r="Z147" s="107">
        <f>IF(H147&gt;0, rate1(1,$L$52,$L$51,$L$54,U147,$L$53,$L$50,Y147),"")</f>
        <v>2342.1011726914708</v>
      </c>
      <c r="AA147" s="335">
        <f t="shared" si="59"/>
        <v>1.1414709197718818</v>
      </c>
      <c r="AB147" s="335">
        <f t="shared" si="60"/>
        <v>-1.5831175036369056E-2</v>
      </c>
      <c r="AC147" s="327">
        <f t="shared" si="61"/>
        <v>0.38014690650599847</v>
      </c>
      <c r="AD147" s="327">
        <f t="shared" si="62"/>
        <v>-5.2611239648965587E-2</v>
      </c>
      <c r="AE147" s="327">
        <f t="shared" si="63"/>
        <v>-2.3620955283285883E-2</v>
      </c>
      <c r="AF147" s="327">
        <f t="shared" si="64"/>
        <v>1497.9705886153824</v>
      </c>
      <c r="AG147" s="327">
        <f t="shared" si="65"/>
        <v>1484.8946895853294</v>
      </c>
      <c r="AH147" s="327">
        <f t="shared" si="66"/>
        <v>8.7008289780509909</v>
      </c>
      <c r="AI147" s="327">
        <f t="shared" si="67"/>
        <v>162.35121910308541</v>
      </c>
      <c r="AJ147" s="327">
        <f t="shared" si="68"/>
        <v>1.5839064074148739</v>
      </c>
      <c r="AK147" s="336">
        <f t="shared" si="69"/>
        <v>10.150403731874096</v>
      </c>
      <c r="AL147" s="42">
        <f t="shared" si="70"/>
        <v>10.237387494347169</v>
      </c>
      <c r="BA147" s="8"/>
    </row>
    <row r="148" spans="1:53" x14ac:dyDescent="0.25">
      <c r="A148" s="115"/>
      <c r="B148" s="327">
        <f t="shared" si="43"/>
        <v>1497.9705886153824</v>
      </c>
      <c r="C148" s="327">
        <f t="shared" si="44"/>
        <v>1484.8946895853294</v>
      </c>
      <c r="D148" s="327">
        <f t="shared" si="45"/>
        <v>8.7008289780509909</v>
      </c>
      <c r="E148" s="327">
        <f t="shared" si="36"/>
        <v>57.040230808591474</v>
      </c>
      <c r="F148" s="327">
        <f t="shared" si="46"/>
        <v>56.67890839428167</v>
      </c>
      <c r="G148" s="327">
        <f t="shared" si="47"/>
        <v>3843.4056743308543</v>
      </c>
      <c r="H148" s="312">
        <f t="shared" si="37"/>
        <v>0.02</v>
      </c>
      <c r="I148" s="327">
        <f t="shared" si="48"/>
        <v>7.8455394180318301</v>
      </c>
      <c r="J148" s="327">
        <f t="shared" si="38"/>
        <v>1848</v>
      </c>
      <c r="K148" s="334">
        <f t="shared" si="49"/>
        <v>-1</v>
      </c>
      <c r="L148" s="322">
        <f t="shared" si="50"/>
        <v>8.6808289780509913</v>
      </c>
      <c r="M148" s="322">
        <f t="shared" si="51"/>
        <v>8.6908289780509911</v>
      </c>
      <c r="N148" s="327">
        <f t="shared" si="52"/>
        <v>-5.785416165051771E-2</v>
      </c>
      <c r="O148" s="327">
        <f t="shared" si="39"/>
        <v>0.72662974570902261</v>
      </c>
      <c r="P148" s="331">
        <f t="shared" si="41"/>
        <v>232.98024909379075</v>
      </c>
      <c r="Q148" s="327">
        <f t="shared" si="53"/>
        <v>2032.6409034510239</v>
      </c>
      <c r="R148" s="276">
        <f>IF(H148&gt;0, rate1(1,$L$52,$L$51,$L$54,L148,$L$53,$L$50,P148),"")</f>
        <v>2340.7456017238269</v>
      </c>
      <c r="S148" s="322">
        <f t="shared" si="54"/>
        <v>1.1950698017826555</v>
      </c>
      <c r="T148" s="322">
        <f t="shared" si="55"/>
        <v>0.29658184466183102</v>
      </c>
      <c r="U148" s="327">
        <f t="shared" si="40"/>
        <v>8.7008289780509909</v>
      </c>
      <c r="V148" s="335">
        <f t="shared" si="56"/>
        <v>8.7008289780509909</v>
      </c>
      <c r="W148" s="327">
        <f t="shared" si="57"/>
        <v>2.2297643109538967E-3</v>
      </c>
      <c r="X148" s="327">
        <f t="shared" si="58"/>
        <v>2021.3850187757357</v>
      </c>
      <c r="Y148" s="327">
        <f t="shared" si="42"/>
        <v>233.51670951125442</v>
      </c>
      <c r="Z148" s="107">
        <f>IF(H148&gt;0, rate1(1,$L$52,$L$51,$L$54,U148,$L$53,$L$50,Y148),"")</f>
        <v>2341.3400471780237</v>
      </c>
      <c r="AA148" s="335">
        <f t="shared" si="59"/>
        <v>1.1881502855692121</v>
      </c>
      <c r="AB148" s="335">
        <f t="shared" si="60"/>
        <v>-1.1850974895989014E-2</v>
      </c>
      <c r="AC148" s="327">
        <f t="shared" si="61"/>
        <v>0.29658184466183102</v>
      </c>
      <c r="AD148" s="327">
        <f t="shared" si="62"/>
        <v>-6.7435011144409154E-2</v>
      </c>
      <c r="AE148" s="327">
        <f t="shared" si="63"/>
        <v>-4.3810083345394192E-2</v>
      </c>
      <c r="AF148" s="327">
        <f t="shared" si="64"/>
        <v>1497.61615260907</v>
      </c>
      <c r="AG148" s="327">
        <f t="shared" si="65"/>
        <v>1484.5981077406675</v>
      </c>
      <c r="AH148" s="327">
        <f t="shared" si="66"/>
        <v>8.6815592819855354</v>
      </c>
      <c r="AI148" s="327">
        <f t="shared" si="67"/>
        <v>126.70400595580112</v>
      </c>
      <c r="AJ148" s="327">
        <f t="shared" si="68"/>
        <v>1.6191019646248186</v>
      </c>
      <c r="AK148" s="336">
        <f t="shared" si="69"/>
        <v>10.769377416417733</v>
      </c>
      <c r="AL148" s="42">
        <f t="shared" si="70"/>
        <v>10.537412547249671</v>
      </c>
      <c r="BA148" s="8"/>
    </row>
    <row r="149" spans="1:53" x14ac:dyDescent="0.25">
      <c r="A149" s="115"/>
      <c r="B149" s="327">
        <f t="shared" si="43"/>
        <v>1497.61615260907</v>
      </c>
      <c r="C149" s="327">
        <f t="shared" si="44"/>
        <v>1484.5981077406675</v>
      </c>
      <c r="D149" s="327">
        <f t="shared" si="45"/>
        <v>8.6815592819855354</v>
      </c>
      <c r="E149" s="327">
        <f t="shared" si="36"/>
        <v>57.570672535995016</v>
      </c>
      <c r="F149" s="327">
        <f t="shared" si="46"/>
        <v>57.305451672293245</v>
      </c>
      <c r="G149" s="327">
        <f t="shared" si="47"/>
        <v>3860.0713136345053</v>
      </c>
      <c r="H149" s="312">
        <f t="shared" si="37"/>
        <v>0.02</v>
      </c>
      <c r="I149" s="327">
        <f t="shared" si="48"/>
        <v>7.8108269210415067</v>
      </c>
      <c r="J149" s="327">
        <f t="shared" si="38"/>
        <v>1848</v>
      </c>
      <c r="K149" s="334">
        <f t="shared" si="49"/>
        <v>-1</v>
      </c>
      <c r="L149" s="322">
        <f t="shared" si="50"/>
        <v>8.6615592819855358</v>
      </c>
      <c r="M149" s="322">
        <f t="shared" si="51"/>
        <v>8.6715592819855356</v>
      </c>
      <c r="N149" s="327">
        <f t="shared" si="52"/>
        <v>-5.7730883039631919E-2</v>
      </c>
      <c r="O149" s="327">
        <f t="shared" si="39"/>
        <v>0.71183047090446994</v>
      </c>
      <c r="P149" s="331">
        <f t="shared" si="41"/>
        <v>232.29099919900193</v>
      </c>
      <c r="Q149" s="327">
        <f t="shared" si="53"/>
        <v>2042.7333418390758</v>
      </c>
      <c r="R149" s="276">
        <f>IF(H149&gt;0, rate1(1,$L$52,$L$51,$L$54,L149,$L$53,$L$50,P149),"")</f>
        <v>2339.9782685992445</v>
      </c>
      <c r="S149" s="322">
        <f t="shared" si="54"/>
        <v>1.226374971984789</v>
      </c>
      <c r="T149" s="322">
        <f t="shared" si="55"/>
        <v>0.25502325868210862</v>
      </c>
      <c r="U149" s="327">
        <f t="shared" si="40"/>
        <v>8.6815592819855354</v>
      </c>
      <c r="V149" s="335">
        <f t="shared" si="56"/>
        <v>8.6815592819855354</v>
      </c>
      <c r="W149" s="327">
        <f t="shared" si="57"/>
        <v>2.2198987449613128E-3</v>
      </c>
      <c r="X149" s="327">
        <f t="shared" si="58"/>
        <v>2038.2229926905538</v>
      </c>
      <c r="Y149" s="327">
        <f t="shared" si="42"/>
        <v>232.82706181488518</v>
      </c>
      <c r="Z149" s="107">
        <f>IF(H149&gt;0, rate1(1,$L$52,$L$51,$L$54,U149,$L$53,$L$50,Y149),"")</f>
        <v>2340.5754095137086</v>
      </c>
      <c r="AA149" s="335">
        <f t="shared" si="59"/>
        <v>1.2233549507686272</v>
      </c>
      <c r="AB149" s="335">
        <f t="shared" si="60"/>
        <v>-9.9388830976077178E-3</v>
      </c>
      <c r="AC149" s="327">
        <f t="shared" si="61"/>
        <v>0.25502325868210862</v>
      </c>
      <c r="AD149" s="327">
        <f t="shared" si="62"/>
        <v>-7.8424219435335438E-2</v>
      </c>
      <c r="AE149" s="327">
        <f t="shared" si="63"/>
        <v>-3.9844476507949332E-2</v>
      </c>
      <c r="AF149" s="327">
        <f t="shared" si="64"/>
        <v>1497.3033984673482</v>
      </c>
      <c r="AG149" s="327">
        <f t="shared" si="65"/>
        <v>1484.3430844819854</v>
      </c>
      <c r="AH149" s="327">
        <f t="shared" si="66"/>
        <v>8.6622879173862586</v>
      </c>
      <c r="AI149" s="327">
        <f t="shared" si="67"/>
        <v>108.98531072033006</v>
      </c>
      <c r="AJ149" s="327">
        <f t="shared" si="68"/>
        <v>1.6493756620471325</v>
      </c>
      <c r="AK149" s="336">
        <f t="shared" si="69"/>
        <v>11.256352311868708</v>
      </c>
      <c r="AL149" s="42">
        <f t="shared" si="70"/>
        <v>10.771561550255992</v>
      </c>
      <c r="BA149" s="8"/>
    </row>
    <row r="150" spans="1:53" x14ac:dyDescent="0.25">
      <c r="A150" s="115"/>
      <c r="B150" s="327">
        <f t="shared" si="43"/>
        <v>1497.3033984673482</v>
      </c>
      <c r="C150" s="327">
        <f t="shared" si="44"/>
        <v>1484.3430844819854</v>
      </c>
      <c r="D150" s="327">
        <f t="shared" si="45"/>
        <v>8.6622879173862586</v>
      </c>
      <c r="E150" s="327">
        <f t="shared" si="36"/>
        <v>58.00543965720118</v>
      </c>
      <c r="F150" s="327">
        <f t="shared" si="46"/>
        <v>57.788056096598098</v>
      </c>
      <c r="G150" s="327">
        <f t="shared" si="47"/>
        <v>3866.6548962364923</v>
      </c>
      <c r="H150" s="312">
        <f t="shared" si="37"/>
        <v>0.02</v>
      </c>
      <c r="I150" s="327">
        <f t="shared" si="48"/>
        <v>7.776188391217647</v>
      </c>
      <c r="J150" s="327">
        <f t="shared" si="38"/>
        <v>1848</v>
      </c>
      <c r="K150" s="334">
        <f t="shared" si="49"/>
        <v>-1</v>
      </c>
      <c r="L150" s="322">
        <f t="shared" si="50"/>
        <v>8.642287917386259</v>
      </c>
      <c r="M150" s="322">
        <f t="shared" si="51"/>
        <v>8.6522879173862588</v>
      </c>
      <c r="N150" s="327">
        <f t="shared" si="52"/>
        <v>-5.7607571877923647E-2</v>
      </c>
      <c r="O150" s="327">
        <f t="shared" si="39"/>
        <v>0.69985807930749078</v>
      </c>
      <c r="P150" s="331">
        <f t="shared" si="41"/>
        <v>231.60220136065266</v>
      </c>
      <c r="Q150" s="327">
        <f t="shared" si="53"/>
        <v>2046.0379775736405</v>
      </c>
      <c r="R150" s="276">
        <f>IF(H150&gt;0, rate1(1,$L$52,$L$51,$L$54,L150,$L$53,$L$50,P150),"")</f>
        <v>2339.2073829771125</v>
      </c>
      <c r="S150" s="322">
        <f t="shared" si="54"/>
        <v>1.2497840680047785</v>
      </c>
      <c r="T150" s="322">
        <f t="shared" si="55"/>
        <v>0.23062948865426272</v>
      </c>
      <c r="U150" s="327">
        <f t="shared" si="40"/>
        <v>8.6622879173862586</v>
      </c>
      <c r="V150" s="335">
        <f t="shared" si="56"/>
        <v>8.6622879173862586</v>
      </c>
      <c r="W150" s="327">
        <f t="shared" si="57"/>
        <v>2.2100542010115021E-3</v>
      </c>
      <c r="X150" s="327">
        <f t="shared" si="58"/>
        <v>2044.9112368310339</v>
      </c>
      <c r="Y150" s="327">
        <f t="shared" si="42"/>
        <v>232.13786555092909</v>
      </c>
      <c r="Z150" s="107">
        <f>IF(H150&gt;0, rate1(1,$L$52,$L$51,$L$54,U150,$L$53,$L$50,Y150),"")</f>
        <v>2339.8072368061362</v>
      </c>
      <c r="AA150" s="335">
        <f t="shared" si="59"/>
        <v>1.2487755901427977</v>
      </c>
      <c r="AB150" s="335">
        <f t="shared" si="60"/>
        <v>-8.8837260912251331E-3</v>
      </c>
      <c r="AC150" s="327">
        <f t="shared" si="61"/>
        <v>0.23062948865426272</v>
      </c>
      <c r="AD150" s="327">
        <f t="shared" si="62"/>
        <v>-8.6719179393325782E-2</v>
      </c>
      <c r="AE150" s="327">
        <f t="shared" si="63"/>
        <v>-3.4160045437754374E-2</v>
      </c>
      <c r="AF150" s="327">
        <f t="shared" si="64"/>
        <v>1497.0151614068161</v>
      </c>
      <c r="AG150" s="327">
        <f t="shared" si="65"/>
        <v>1484.1124549933311</v>
      </c>
      <c r="AH150" s="327">
        <f t="shared" si="66"/>
        <v>8.6430148839945549</v>
      </c>
      <c r="AI150" s="327">
        <f t="shared" si="67"/>
        <v>98.593006474158898</v>
      </c>
      <c r="AJ150" s="327">
        <f t="shared" si="68"/>
        <v>1.6767626082899545</v>
      </c>
      <c r="AK150" s="336">
        <f t="shared" si="69"/>
        <v>11.677043383387797</v>
      </c>
      <c r="AL150" s="42">
        <f t="shared" si="70"/>
        <v>10.972966404467162</v>
      </c>
      <c r="BA150" s="8"/>
    </row>
    <row r="151" spans="1:53" x14ac:dyDescent="0.25">
      <c r="A151" s="115"/>
      <c r="B151" s="327">
        <f t="shared" si="43"/>
        <v>1497.0151614068161</v>
      </c>
      <c r="C151" s="327">
        <f t="shared" si="44"/>
        <v>1484.1124549933311</v>
      </c>
      <c r="D151" s="327">
        <f t="shared" si="45"/>
        <v>8.6430148839945549</v>
      </c>
      <c r="E151" s="327">
        <f t="shared" si="36"/>
        <v>58.383885769573084</v>
      </c>
      <c r="F151" s="327">
        <f t="shared" si="46"/>
        <v>58.194662713387132</v>
      </c>
      <c r="G151" s="327">
        <f t="shared" si="47"/>
        <v>3867.8684067233403</v>
      </c>
      <c r="H151" s="312">
        <f t="shared" si="37"/>
        <v>0.02</v>
      </c>
      <c r="I151" s="327">
        <f t="shared" si="48"/>
        <v>7.7416238480910122</v>
      </c>
      <c r="J151" s="327">
        <f t="shared" si="38"/>
        <v>1848</v>
      </c>
      <c r="K151" s="334">
        <f t="shared" si="49"/>
        <v>-1</v>
      </c>
      <c r="L151" s="322">
        <f t="shared" si="50"/>
        <v>8.6230148839945553</v>
      </c>
      <c r="M151" s="322">
        <f t="shared" si="51"/>
        <v>8.6330148839945551</v>
      </c>
      <c r="N151" s="327">
        <f t="shared" si="52"/>
        <v>-5.7484228158099171E-2</v>
      </c>
      <c r="O151" s="327">
        <f t="shared" si="39"/>
        <v>0.6892936473886575</v>
      </c>
      <c r="P151" s="331">
        <f t="shared" si="41"/>
        <v>230.91385646183531</v>
      </c>
      <c r="Q151" s="327">
        <f t="shared" si="53"/>
        <v>2045.3104622411461</v>
      </c>
      <c r="R151" s="276">
        <f>IF(H151&gt;0, rate1(1,$L$52,$L$51,$L$54,L151,$L$53,$L$50,P151),"")</f>
        <v>2338.4329216276033</v>
      </c>
      <c r="S151" s="322">
        <f t="shared" si="54"/>
        <v>1.2689077423183881</v>
      </c>
      <c r="T151" s="322">
        <f t="shared" si="55"/>
        <v>0.21376933093297687</v>
      </c>
      <c r="U151" s="327">
        <f t="shared" si="40"/>
        <v>8.6430148839945549</v>
      </c>
      <c r="V151" s="335">
        <f t="shared" si="56"/>
        <v>8.6430148839945549</v>
      </c>
      <c r="W151" s="327">
        <f t="shared" si="57"/>
        <v>2.2002306846609088E-3</v>
      </c>
      <c r="X151" s="327">
        <f t="shared" si="58"/>
        <v>2046.1933392839574</v>
      </c>
      <c r="Y151" s="327">
        <f t="shared" si="42"/>
        <v>231.44912160012896</v>
      </c>
      <c r="Z151" s="107">
        <f>IF(H151&gt;0, rate1(1,$L$52,$L$51,$L$54,U151,$L$53,$L$50,Y151),"")</f>
        <v>2339.0355059711769</v>
      </c>
      <c r="AA151" s="335">
        <f t="shared" si="59"/>
        <v>1.2691284397828904</v>
      </c>
      <c r="AB151" s="335">
        <f t="shared" si="60"/>
        <v>-8.1753927100230109E-3</v>
      </c>
      <c r="AC151" s="327">
        <f t="shared" si="61"/>
        <v>0.21376933093297687</v>
      </c>
      <c r="AD151" s="327">
        <f t="shared" si="62"/>
        <v>-9.3558790275068054E-2</v>
      </c>
      <c r="AE151" s="327">
        <f t="shared" si="63"/>
        <v>-3.078140886195398E-2</v>
      </c>
      <c r="AF151" s="327">
        <f t="shared" si="64"/>
        <v>1496.743907847725</v>
      </c>
      <c r="AG151" s="327">
        <f t="shared" si="65"/>
        <v>1483.8986856623981</v>
      </c>
      <c r="AH151" s="327">
        <f t="shared" si="66"/>
        <v>8.6237401815506818</v>
      </c>
      <c r="AI151" s="327">
        <f t="shared" si="67"/>
        <v>91.4156352127426</v>
      </c>
      <c r="AJ151" s="327">
        <f t="shared" si="68"/>
        <v>1.7021558402934942</v>
      </c>
      <c r="AK151" s="336">
        <f t="shared" si="69"/>
        <v>12.05826851460578</v>
      </c>
      <c r="AL151" s="42">
        <f t="shared" si="70"/>
        <v>11.155166280431407</v>
      </c>
      <c r="BA151" s="8"/>
    </row>
    <row r="152" spans="1:53" x14ac:dyDescent="0.25">
      <c r="A152" s="115"/>
      <c r="B152" s="327">
        <f t="shared" si="43"/>
        <v>1496.743907847725</v>
      </c>
      <c r="C152" s="327">
        <f t="shared" si="44"/>
        <v>1483.8986856623981</v>
      </c>
      <c r="D152" s="327">
        <f t="shared" si="45"/>
        <v>8.6237401815506818</v>
      </c>
      <c r="E152" s="327">
        <f t="shared" si="36"/>
        <v>58.723342299344822</v>
      </c>
      <c r="F152" s="327">
        <f t="shared" si="46"/>
        <v>58.553614034458953</v>
      </c>
      <c r="G152" s="327">
        <f t="shared" si="47"/>
        <v>3865.6869985594626</v>
      </c>
      <c r="H152" s="312">
        <f t="shared" si="37"/>
        <v>0.02</v>
      </c>
      <c r="I152" s="327">
        <f t="shared" si="48"/>
        <v>7.7071333111961842</v>
      </c>
      <c r="J152" s="327">
        <f t="shared" si="38"/>
        <v>1848</v>
      </c>
      <c r="K152" s="334">
        <f t="shared" si="49"/>
        <v>-1</v>
      </c>
      <c r="L152" s="322">
        <f t="shared" si="50"/>
        <v>8.6037401815506822</v>
      </c>
      <c r="M152" s="322">
        <f t="shared" si="51"/>
        <v>8.613740181550682</v>
      </c>
      <c r="N152" s="327">
        <f t="shared" si="52"/>
        <v>-5.7360851872754637E-2</v>
      </c>
      <c r="O152" s="327">
        <f t="shared" si="39"/>
        <v>0.67955737088177681</v>
      </c>
      <c r="P152" s="331">
        <f t="shared" si="41"/>
        <v>230.22596538886108</v>
      </c>
      <c r="Q152" s="327">
        <f t="shared" si="53"/>
        <v>2041.7764362617436</v>
      </c>
      <c r="R152" s="276">
        <f>IF(H152&gt;0, rate1(1,$L$52,$L$51,$L$54,L152,$L$53,$L$50,P152),"")</f>
        <v>2337.6548611256962</v>
      </c>
      <c r="S152" s="322">
        <f t="shared" si="54"/>
        <v>1.2852915994062906</v>
      </c>
      <c r="T152" s="322">
        <f t="shared" si="55"/>
        <v>0.20106043077372804</v>
      </c>
      <c r="U152" s="327">
        <f t="shared" si="40"/>
        <v>8.6237401815506818</v>
      </c>
      <c r="V152" s="335">
        <f t="shared" si="56"/>
        <v>8.6237401815506818</v>
      </c>
      <c r="W152" s="327">
        <f t="shared" si="57"/>
        <v>2.1904282014730825E-3</v>
      </c>
      <c r="X152" s="327">
        <f t="shared" si="58"/>
        <v>2044.0576782503435</v>
      </c>
      <c r="Y152" s="327">
        <f t="shared" si="42"/>
        <v>230.76083084643227</v>
      </c>
      <c r="Z152" s="107">
        <f>IF(H152&gt;0, rate1(1,$L$52,$L$51,$L$54,U152,$L$53,$L$50,Y152),"")</f>
        <v>2338.2601937309928</v>
      </c>
      <c r="AA152" s="335">
        <f t="shared" si="59"/>
        <v>1.286394523644504</v>
      </c>
      <c r="AB152" s="335">
        <f t="shared" si="60"/>
        <v>-7.6482894072095412E-3</v>
      </c>
      <c r="AC152" s="327">
        <f t="shared" si="61"/>
        <v>0.20106043077372804</v>
      </c>
      <c r="AD152" s="327">
        <f t="shared" si="62"/>
        <v>-9.9472581069458943E-2</v>
      </c>
      <c r="AE152" s="327">
        <f t="shared" si="63"/>
        <v>-2.8511892541461803E-2</v>
      </c>
      <c r="AF152" s="327">
        <f t="shared" si="64"/>
        <v>1496.4854865650786</v>
      </c>
      <c r="AG152" s="327">
        <f t="shared" si="65"/>
        <v>1483.6976252316244</v>
      </c>
      <c r="AH152" s="327">
        <f t="shared" si="66"/>
        <v>8.6044638097942716</v>
      </c>
      <c r="AI152" s="327">
        <f t="shared" si="67"/>
        <v>86.009459359157702</v>
      </c>
      <c r="AJ152" s="327">
        <f t="shared" si="68"/>
        <v>1.726047356782149</v>
      </c>
      <c r="AK152" s="336">
        <f t="shared" si="69"/>
        <v>12.411852161925694</v>
      </c>
      <c r="AL152" s="42">
        <f t="shared" si="70"/>
        <v>11.324102374304555</v>
      </c>
      <c r="BA152" s="8"/>
    </row>
    <row r="153" spans="1:53" x14ac:dyDescent="0.25">
      <c r="A153" s="115"/>
      <c r="B153" s="327">
        <f t="shared" si="43"/>
        <v>1496.4854865650786</v>
      </c>
      <c r="C153" s="327">
        <f t="shared" si="44"/>
        <v>1483.6976252316244</v>
      </c>
      <c r="D153" s="327">
        <f t="shared" si="45"/>
        <v>8.6044638097942716</v>
      </c>
      <c r="E153" s="327">
        <f t="shared" si="36"/>
        <v>59.033390042649216</v>
      </c>
      <c r="F153" s="327">
        <f t="shared" si="46"/>
        <v>58.878366170997019</v>
      </c>
      <c r="G153" s="327">
        <f t="shared" si="47"/>
        <v>3861.0585301991146</v>
      </c>
      <c r="H153" s="312">
        <f t="shared" si="37"/>
        <v>0.02</v>
      </c>
      <c r="I153" s="327">
        <f t="shared" si="48"/>
        <v>7.6727168000725214</v>
      </c>
      <c r="J153" s="327">
        <f t="shared" si="38"/>
        <v>1848</v>
      </c>
      <c r="K153" s="334">
        <f t="shared" si="49"/>
        <v>-1</v>
      </c>
      <c r="L153" s="322">
        <f t="shared" si="50"/>
        <v>8.584463809794272</v>
      </c>
      <c r="M153" s="322">
        <f t="shared" si="51"/>
        <v>8.5944638097942718</v>
      </c>
      <c r="N153" s="327">
        <f t="shared" si="52"/>
        <v>-5.7237443014582112E-2</v>
      </c>
      <c r="O153" s="327">
        <f t="shared" si="39"/>
        <v>0.67039477517007051</v>
      </c>
      <c r="P153" s="331">
        <f t="shared" si="41"/>
        <v>229.53852903129774</v>
      </c>
      <c r="Q153" s="327">
        <f t="shared" si="53"/>
        <v>2036.1201581385531</v>
      </c>
      <c r="R153" s="276">
        <f>IF(H153&gt;0, rate1(1,$L$52,$L$51,$L$54,L153,$L$53,$L$50,P153),"")</f>
        <v>2336.873177849207</v>
      </c>
      <c r="S153" s="322">
        <f t="shared" si="54"/>
        <v>1.2996835998956582</v>
      </c>
      <c r="T153" s="322">
        <f t="shared" si="55"/>
        <v>0.19099291063812188</v>
      </c>
      <c r="U153" s="327">
        <f t="shared" si="40"/>
        <v>8.6044638097942716</v>
      </c>
      <c r="V153" s="335">
        <f t="shared" si="56"/>
        <v>8.6044638097942716</v>
      </c>
      <c r="W153" s="327">
        <f t="shared" si="57"/>
        <v>2.1806467570044674E-3</v>
      </c>
      <c r="X153" s="327">
        <f t="shared" si="58"/>
        <v>2039.4584349343486</v>
      </c>
      <c r="Y153" s="327">
        <f t="shared" si="42"/>
        <v>230.07299417702856</v>
      </c>
      <c r="Z153" s="107">
        <f>IF(H153&gt;0, rate1(1,$L$52,$L$51,$L$54,U153,$L$53,$L$50,Y153),"")</f>
        <v>2337.4812766120758</v>
      </c>
      <c r="AA153" s="335">
        <f t="shared" si="59"/>
        <v>1.3014757993404762</v>
      </c>
      <c r="AB153" s="335">
        <f t="shared" si="60"/>
        <v>-7.2332398214880311E-3</v>
      </c>
      <c r="AC153" s="327">
        <f t="shared" si="61"/>
        <v>0.19099291063812188</v>
      </c>
      <c r="AD153" s="327">
        <f t="shared" si="62"/>
        <v>-0.10471592863409682</v>
      </c>
      <c r="AE153" s="327">
        <f t="shared" si="63"/>
        <v>-2.6748133535889267E-2</v>
      </c>
      <c r="AF153" s="327">
        <f t="shared" si="64"/>
        <v>1496.237256211426</v>
      </c>
      <c r="AG153" s="327">
        <f t="shared" si="65"/>
        <v>1483.5066323209862</v>
      </c>
      <c r="AH153" s="327">
        <f t="shared" si="66"/>
        <v>8.5851857684641733</v>
      </c>
      <c r="AI153" s="327">
        <f t="shared" si="67"/>
        <v>81.730113747082513</v>
      </c>
      <c r="AJ153" s="327">
        <f t="shared" si="68"/>
        <v>1.7487501661563387</v>
      </c>
      <c r="AK153" s="336">
        <f t="shared" si="69"/>
        <v>12.744337810723518</v>
      </c>
      <c r="AL153" s="42">
        <f t="shared" si="70"/>
        <v>11.483047855200279</v>
      </c>
      <c r="BA153" s="8"/>
    </row>
    <row r="154" spans="1:53" x14ac:dyDescent="0.25">
      <c r="A154" s="115"/>
      <c r="B154" s="327">
        <f t="shared" si="43"/>
        <v>1496.237256211426</v>
      </c>
      <c r="C154" s="327">
        <f t="shared" si="44"/>
        <v>1483.5066323209862</v>
      </c>
      <c r="D154" s="327">
        <f t="shared" si="45"/>
        <v>8.5851857684641733</v>
      </c>
      <c r="E154" s="327">
        <f t="shared" si="36"/>
        <v>59.320138588091069</v>
      </c>
      <c r="F154" s="327">
        <f t="shared" si="46"/>
        <v>59.176764315370143</v>
      </c>
      <c r="G154" s="327">
        <f t="shared" si="47"/>
        <v>3854.5410979329772</v>
      </c>
      <c r="H154" s="312">
        <f t="shared" si="37"/>
        <v>0.02</v>
      </c>
      <c r="I154" s="327">
        <f t="shared" si="48"/>
        <v>7.6383743342638803</v>
      </c>
      <c r="J154" s="327">
        <f t="shared" si="38"/>
        <v>1848</v>
      </c>
      <c r="K154" s="334">
        <f t="shared" si="49"/>
        <v>-1</v>
      </c>
      <c r="L154" s="322">
        <f t="shared" si="50"/>
        <v>8.5651857684641737</v>
      </c>
      <c r="M154" s="322">
        <f t="shared" si="51"/>
        <v>8.5751857684641735</v>
      </c>
      <c r="N154" s="327">
        <f t="shared" si="52"/>
        <v>-5.7114001576191953E-2</v>
      </c>
      <c r="O154" s="327">
        <f t="shared" si="39"/>
        <v>0.66166563722207927</v>
      </c>
      <c r="P154" s="331">
        <f t="shared" si="41"/>
        <v>228.85154828198372</v>
      </c>
      <c r="Q154" s="327">
        <f t="shared" si="53"/>
        <v>2028.7816392690297</v>
      </c>
      <c r="R154" s="276">
        <f>IF(H154&gt;0, rate1(1,$L$52,$L$51,$L$54,L154,$L$53,$L$50,P154),"")</f>
        <v>2336.0878479767593</v>
      </c>
      <c r="S154" s="322">
        <f t="shared" si="54"/>
        <v>1.312524911018927</v>
      </c>
      <c r="T154" s="322">
        <f t="shared" si="55"/>
        <v>0.18275023706104837</v>
      </c>
      <c r="U154" s="327">
        <f t="shared" si="40"/>
        <v>8.5851857684641733</v>
      </c>
      <c r="V154" s="335">
        <f t="shared" si="56"/>
        <v>8.5851857684641733</v>
      </c>
      <c r="W154" s="327">
        <f t="shared" si="57"/>
        <v>2.1708863567830861E-3</v>
      </c>
      <c r="X154" s="327">
        <f t="shared" si="58"/>
        <v>2032.9574157419152</v>
      </c>
      <c r="Y154" s="327">
        <f t="shared" si="42"/>
        <v>229.38561248236365</v>
      </c>
      <c r="Z154" s="107">
        <f>IF(H154&gt;0, rate1(1,$L$52,$L$51,$L$54,U154,$L$53,$L$50,Y154),"")</f>
        <v>2336.6987309432479</v>
      </c>
      <c r="AA154" s="335">
        <f t="shared" si="59"/>
        <v>1.3148825995916735</v>
      </c>
      <c r="AB154" s="335">
        <f t="shared" si="60"/>
        <v>-6.8942722131937421E-3</v>
      </c>
      <c r="AC154" s="327">
        <f t="shared" si="61"/>
        <v>0.18275023706104837</v>
      </c>
      <c r="AD154" s="327">
        <f t="shared" si="62"/>
        <v>-0.10943898252410435</v>
      </c>
      <c r="AE154" s="327">
        <f t="shared" si="63"/>
        <v>-2.5274330347370894E-2</v>
      </c>
      <c r="AF154" s="327">
        <f t="shared" si="64"/>
        <v>1495.9973919727888</v>
      </c>
      <c r="AG154" s="327">
        <f t="shared" si="65"/>
        <v>1483.3238820839251</v>
      </c>
      <c r="AH154" s="327">
        <f t="shared" si="66"/>
        <v>8.5659060572982177</v>
      </c>
      <c r="AI154" s="327">
        <f t="shared" si="67"/>
        <v>78.22918013092908</v>
      </c>
      <c r="AJ154" s="327">
        <f t="shared" si="68"/>
        <v>1.7704804939704857</v>
      </c>
      <c r="AK154" s="336">
        <f t="shared" si="69"/>
        <v>13.059902563580835</v>
      </c>
      <c r="AL154" s="42">
        <f t="shared" si="70"/>
        <v>11.634085105404887</v>
      </c>
      <c r="BA154" s="8"/>
    </row>
    <row r="155" spans="1:53" x14ac:dyDescent="0.25">
      <c r="A155" s="115"/>
      <c r="B155" s="327">
        <f t="shared" si="43"/>
        <v>1495.9973919727888</v>
      </c>
      <c r="C155" s="327">
        <f t="shared" si="44"/>
        <v>1483.3238820839251</v>
      </c>
      <c r="D155" s="327">
        <f t="shared" si="45"/>
        <v>8.5659060572982177</v>
      </c>
      <c r="E155" s="327">
        <f t="shared" si="36"/>
        <v>59.587815986484813</v>
      </c>
      <c r="F155" s="327">
        <f t="shared" si="46"/>
        <v>59.453977287287941</v>
      </c>
      <c r="G155" s="327">
        <f t="shared" si="47"/>
        <v>3846.5054681102642</v>
      </c>
      <c r="H155" s="312">
        <f t="shared" si="37"/>
        <v>0.02</v>
      </c>
      <c r="I155" s="327">
        <f t="shared" si="48"/>
        <v>7.6041059333182144</v>
      </c>
      <c r="J155" s="327">
        <f t="shared" si="38"/>
        <v>1848</v>
      </c>
      <c r="K155" s="334">
        <f t="shared" si="49"/>
        <v>-1</v>
      </c>
      <c r="L155" s="322">
        <f t="shared" si="50"/>
        <v>8.5459060572982182</v>
      </c>
      <c r="M155" s="322">
        <f t="shared" si="51"/>
        <v>8.555906057298218</v>
      </c>
      <c r="N155" s="327">
        <f t="shared" si="52"/>
        <v>-5.699052755025491E-2</v>
      </c>
      <c r="O155" s="327">
        <f t="shared" si="39"/>
        <v>0.65328073572432888</v>
      </c>
      <c r="P155" s="331">
        <f t="shared" si="41"/>
        <v>228.16502403703981</v>
      </c>
      <c r="Q155" s="327">
        <f t="shared" si="53"/>
        <v>2020.0676565645499</v>
      </c>
      <c r="R155" s="276">
        <f>IF(H155&gt;0, rate1(1,$L$52,$L$51,$L$54,L155,$L$53,$L$50,P155),"")</f>
        <v>2335.2988474857366</v>
      </c>
      <c r="S155" s="322">
        <f t="shared" si="54"/>
        <v>1.3241085762787388</v>
      </c>
      <c r="T155" s="322">
        <f t="shared" si="55"/>
        <v>0.17583776462996803</v>
      </c>
      <c r="U155" s="327">
        <f t="shared" si="40"/>
        <v>8.5659060572982177</v>
      </c>
      <c r="V155" s="335">
        <f t="shared" si="56"/>
        <v>8.5659060572982177</v>
      </c>
      <c r="W155" s="327">
        <f t="shared" si="57"/>
        <v>2.161147006397357E-3</v>
      </c>
      <c r="X155" s="327">
        <f t="shared" si="58"/>
        <v>2024.9278447522593</v>
      </c>
      <c r="Y155" s="327">
        <f t="shared" si="42"/>
        <v>228.69868665615098</v>
      </c>
      <c r="Z155" s="107">
        <f>IF(H155&gt;0, rate1(1,$L$52,$L$51,$L$54,U155,$L$53,$L$50,Y155),"")</f>
        <v>2335.9125328536206</v>
      </c>
      <c r="AA155" s="335">
        <f t="shared" si="59"/>
        <v>1.3269456159119339</v>
      </c>
      <c r="AB155" s="335">
        <f t="shared" si="60"/>
        <v>-6.6101115941541895E-3</v>
      </c>
      <c r="AC155" s="327">
        <f t="shared" si="61"/>
        <v>0.17583776462996803</v>
      </c>
      <c r="AD155" s="327">
        <f t="shared" si="62"/>
        <v>-0.11374120935902413</v>
      </c>
      <c r="AE155" s="327">
        <f t="shared" si="63"/>
        <v>-2.3995375275421886E-2</v>
      </c>
      <c r="AF155" s="327">
        <f t="shared" si="64"/>
        <v>1495.7645636806085</v>
      </c>
      <c r="AG155" s="327">
        <f t="shared" si="65"/>
        <v>1483.1480443192952</v>
      </c>
      <c r="AH155" s="327">
        <f t="shared" si="66"/>
        <v>8.5466246760334297</v>
      </c>
      <c r="AI155" s="327">
        <f t="shared" si="67"/>
        <v>75.295615727846155</v>
      </c>
      <c r="AJ155" s="327">
        <f t="shared" si="68"/>
        <v>1.7913959427837762</v>
      </c>
      <c r="AK155" s="336">
        <f t="shared" si="69"/>
        <v>13.361440153453103</v>
      </c>
      <c r="AL155" s="42">
        <f t="shared" si="70"/>
        <v>11.778652630286844</v>
      </c>
      <c r="BA155" s="8"/>
    </row>
    <row r="156" spans="1:53" x14ac:dyDescent="0.25">
      <c r="A156" s="115"/>
      <c r="B156" s="327">
        <f t="shared" si="43"/>
        <v>1495.7645636806085</v>
      </c>
      <c r="C156" s="327">
        <f t="shared" si="44"/>
        <v>1483.1480443192952</v>
      </c>
      <c r="D156" s="327">
        <f t="shared" si="45"/>
        <v>8.5466246760334297</v>
      </c>
      <c r="E156" s="327">
        <f t="shared" si="36"/>
        <v>59.839508626487472</v>
      </c>
      <c r="F156" s="327">
        <f t="shared" si="46"/>
        <v>59.713662306486142</v>
      </c>
      <c r="G156" s="327">
        <f t="shared" si="47"/>
        <v>3837.2159260062931</v>
      </c>
      <c r="H156" s="312">
        <f t="shared" si="37"/>
        <v>0.02</v>
      </c>
      <c r="I156" s="327">
        <f t="shared" si="48"/>
        <v>7.5699116167879765</v>
      </c>
      <c r="J156" s="327">
        <f t="shared" si="38"/>
        <v>1848</v>
      </c>
      <c r="K156" s="334">
        <f t="shared" si="49"/>
        <v>-1</v>
      </c>
      <c r="L156" s="322">
        <f t="shared" si="50"/>
        <v>8.5266246760334301</v>
      </c>
      <c r="M156" s="322">
        <f t="shared" si="51"/>
        <v>8.5366246760334299</v>
      </c>
      <c r="N156" s="327">
        <f t="shared" si="52"/>
        <v>-5.6867020929356471E-2</v>
      </c>
      <c r="O156" s="327">
        <f t="shared" si="39"/>
        <v>0.64517843081193071</v>
      </c>
      <c r="P156" s="331">
        <f t="shared" si="41"/>
        <v>227.47895719589667</v>
      </c>
      <c r="Q156" s="327">
        <f t="shared" si="53"/>
        <v>2010.2036956399884</v>
      </c>
      <c r="R156" s="276">
        <f>IF(H156&gt;0, rate1(1,$L$52,$L$51,$L$54,L156,$L$53,$L$50,P156),"")</f>
        <v>2334.5061521502207</v>
      </c>
      <c r="S156" s="322">
        <f t="shared" si="54"/>
        <v>1.3346432809061806</v>
      </c>
      <c r="T156" s="322">
        <f t="shared" si="55"/>
        <v>0.16993325183570476</v>
      </c>
      <c r="U156" s="327">
        <f t="shared" si="40"/>
        <v>8.5466246760334297</v>
      </c>
      <c r="V156" s="335">
        <f t="shared" si="56"/>
        <v>8.5466246760334297</v>
      </c>
      <c r="W156" s="327">
        <f t="shared" si="57"/>
        <v>2.1514287113824082E-3</v>
      </c>
      <c r="X156" s="327">
        <f t="shared" si="58"/>
        <v>2015.6357546859094</v>
      </c>
      <c r="Y156" s="327">
        <f t="shared" si="42"/>
        <v>228.01221759539931</v>
      </c>
      <c r="Z156" s="107">
        <f>IF(H156&gt;0, rate1(1,$L$52,$L$51,$L$54,U156,$L$53,$L$50,Y156),"")</f>
        <v>2335.1226582705617</v>
      </c>
      <c r="AA156" s="335">
        <f t="shared" si="59"/>
        <v>1.3378964942038774</v>
      </c>
      <c r="AB156" s="335">
        <f t="shared" si="60"/>
        <v>-6.3671235076037695E-3</v>
      </c>
      <c r="AC156" s="327">
        <f t="shared" si="61"/>
        <v>0.16993325183570476</v>
      </c>
      <c r="AD156" s="327">
        <f t="shared" si="62"/>
        <v>-0.11769326946874673</v>
      </c>
      <c r="AE156" s="327">
        <f t="shared" si="63"/>
        <v>-2.2859406494615486E-2</v>
      </c>
      <c r="AF156" s="327">
        <f t="shared" si="64"/>
        <v>1495.5377634078434</v>
      </c>
      <c r="AG156" s="327">
        <f t="shared" si="65"/>
        <v>1482.9781110674594</v>
      </c>
      <c r="AH156" s="327">
        <f t="shared" si="66"/>
        <v>8.5273416244061782</v>
      </c>
      <c r="AI156" s="327">
        <f t="shared" si="67"/>
        <v>72.791948600857609</v>
      </c>
      <c r="AJ156" s="327">
        <f t="shared" si="68"/>
        <v>1.8116159285062368</v>
      </c>
      <c r="AK156" s="336">
        <f t="shared" si="69"/>
        <v>13.651065151074992</v>
      </c>
      <c r="AL156" s="42">
        <f t="shared" si="70"/>
        <v>11.917798928151903</v>
      </c>
      <c r="BA156" s="8"/>
    </row>
    <row r="157" spans="1:53" x14ac:dyDescent="0.25">
      <c r="A157" s="115"/>
      <c r="B157" s="327">
        <f t="shared" si="43"/>
        <v>1495.5377634078434</v>
      </c>
      <c r="C157" s="327">
        <f t="shared" si="44"/>
        <v>1482.9781110674594</v>
      </c>
      <c r="D157" s="327">
        <f t="shared" si="45"/>
        <v>8.5273416244061782</v>
      </c>
      <c r="E157" s="327">
        <f t="shared" si="36"/>
        <v>60.077558193533648</v>
      </c>
      <c r="F157" s="327">
        <f t="shared" si="46"/>
        <v>59.95853341001056</v>
      </c>
      <c r="G157" s="327">
        <f t="shared" si="47"/>
        <v>3826.8699438825765</v>
      </c>
      <c r="H157" s="312">
        <f t="shared" si="37"/>
        <v>0.02</v>
      </c>
      <c r="I157" s="327">
        <f t="shared" si="48"/>
        <v>7.5357914042303946</v>
      </c>
      <c r="J157" s="327">
        <f t="shared" si="38"/>
        <v>1848</v>
      </c>
      <c r="K157" s="334">
        <f t="shared" si="49"/>
        <v>-1</v>
      </c>
      <c r="L157" s="322">
        <f t="shared" si="50"/>
        <v>8.5073416244061786</v>
      </c>
      <c r="M157" s="322">
        <f t="shared" si="51"/>
        <v>8.5173416244061784</v>
      </c>
      <c r="N157" s="327">
        <f t="shared" si="52"/>
        <v>-5.6743481706142518E-2</v>
      </c>
      <c r="O157" s="327">
        <f t="shared" si="39"/>
        <v>0.6373137911049207</v>
      </c>
      <c r="P157" s="331">
        <f t="shared" si="41"/>
        <v>226.79334866132066</v>
      </c>
      <c r="Q157" s="327">
        <f t="shared" si="53"/>
        <v>1999.3619432794771</v>
      </c>
      <c r="R157" s="276">
        <f>IF(H157&gt;0, rate1(1,$L$52,$L$51,$L$54,L157,$L$53,$L$50,P157),"")</f>
        <v>2333.709737538908</v>
      </c>
      <c r="S157" s="322">
        <f t="shared" si="54"/>
        <v>1.3442847333518506</v>
      </c>
      <c r="T157" s="322">
        <f t="shared" si="55"/>
        <v>0.16481556168263803</v>
      </c>
      <c r="U157" s="327">
        <f t="shared" si="40"/>
        <v>8.5273416244061782</v>
      </c>
      <c r="V157" s="335">
        <f t="shared" si="56"/>
        <v>8.5273416244061782</v>
      </c>
      <c r="W157" s="327">
        <f t="shared" si="57"/>
        <v>2.1417314772946838E-3</v>
      </c>
      <c r="X157" s="327">
        <f t="shared" si="58"/>
        <v>2005.2799204470643</v>
      </c>
      <c r="Y157" s="327">
        <f t="shared" si="42"/>
        <v>227.32620620043798</v>
      </c>
      <c r="Z157" s="107">
        <f>IF(H157&gt;0, rate1(1,$L$52,$L$51,$L$54,U157,$L$53,$L$50,Y157),"")</f>
        <v>2334.3290829176231</v>
      </c>
      <c r="AA157" s="335">
        <f t="shared" si="59"/>
        <v>1.347906003925659</v>
      </c>
      <c r="AB157" s="335">
        <f t="shared" si="60"/>
        <v>-6.1560635721375247E-3</v>
      </c>
      <c r="AC157" s="327">
        <f t="shared" si="61"/>
        <v>0.16481556168263803</v>
      </c>
      <c r="AD157" s="327">
        <f t="shared" si="62"/>
        <v>-0.1213477647123587</v>
      </c>
      <c r="AE157" s="327">
        <f t="shared" si="63"/>
        <v>-2.1834253601688842E-2</v>
      </c>
      <c r="AF157" s="327">
        <f t="shared" si="64"/>
        <v>1495.3162043644545</v>
      </c>
      <c r="AG157" s="327">
        <f t="shared" si="65"/>
        <v>1482.8132955057768</v>
      </c>
      <c r="AH157" s="327">
        <f t="shared" si="66"/>
        <v>8.508056902151699</v>
      </c>
      <c r="AI157" s="327">
        <f t="shared" si="67"/>
        <v>70.623847958251147</v>
      </c>
      <c r="AJ157" s="327">
        <f t="shared" si="68"/>
        <v>1.8312336640501954</v>
      </c>
      <c r="AK157" s="336">
        <f t="shared" si="69"/>
        <v>13.930383575531234</v>
      </c>
      <c r="AL157" s="42">
        <f t="shared" si="70"/>
        <v>12.052318449166288</v>
      </c>
      <c r="BA157" s="8"/>
    </row>
    <row r="158" spans="1:53" x14ac:dyDescent="0.25">
      <c r="A158" s="115"/>
      <c r="B158" s="327">
        <f t="shared" si="43"/>
        <v>1495.3162043644545</v>
      </c>
      <c r="C158" s="327">
        <f t="shared" si="44"/>
        <v>1482.8132955057768</v>
      </c>
      <c r="D158" s="327">
        <f t="shared" si="45"/>
        <v>8.508056902151699</v>
      </c>
      <c r="E158" s="327">
        <f t="shared" si="36"/>
        <v>60.303794763653777</v>
      </c>
      <c r="F158" s="327">
        <f t="shared" si="46"/>
        <v>60.190676478593716</v>
      </c>
      <c r="G158" s="327">
        <f t="shared" si="47"/>
        <v>3815.6202649073812</v>
      </c>
      <c r="H158" s="312">
        <f t="shared" ref="H158:H189" si="71">dv(S157)</f>
        <v>0.02</v>
      </c>
      <c r="I158" s="327">
        <f t="shared" si="48"/>
        <v>7.5017453152066533</v>
      </c>
      <c r="J158" s="327">
        <f t="shared" si="38"/>
        <v>1848</v>
      </c>
      <c r="K158" s="334">
        <f t="shared" si="49"/>
        <v>-1</v>
      </c>
      <c r="L158" s="322">
        <f t="shared" si="50"/>
        <v>8.4880569021516994</v>
      </c>
      <c r="M158" s="322">
        <f t="shared" si="51"/>
        <v>8.4980569021516992</v>
      </c>
      <c r="N158" s="327">
        <f t="shared" si="52"/>
        <v>-5.6619909873230512E-2</v>
      </c>
      <c r="O158" s="327">
        <f t="shared" si="39"/>
        <v>0.62965277012656107</v>
      </c>
      <c r="P158" s="331">
        <f t="shared" si="41"/>
        <v>226.10819933941707</v>
      </c>
      <c r="Q158" s="327">
        <f t="shared" si="53"/>
        <v>1987.6777899936314</v>
      </c>
      <c r="R158" s="276">
        <f>IF(H158&gt;0, rate1(1,$L$52,$L$51,$L$54,L158,$L$53,$L$50,P158),"")</f>
        <v>2332.9095790129736</v>
      </c>
      <c r="S158" s="322">
        <f t="shared" si="54"/>
        <v>1.3531531731559852</v>
      </c>
      <c r="T158" s="322">
        <f t="shared" si="55"/>
        <v>0.16032677652940672</v>
      </c>
      <c r="U158" s="327">
        <f t="shared" si="40"/>
        <v>8.508056902151699</v>
      </c>
      <c r="V158" s="335">
        <f t="shared" si="56"/>
        <v>8.508056902151699</v>
      </c>
      <c r="W158" s="327">
        <f t="shared" si="57"/>
        <v>2.1320553097012862E-3</v>
      </c>
      <c r="X158" s="327">
        <f t="shared" si="58"/>
        <v>1994.0140906113561</v>
      </c>
      <c r="Y158" s="327">
        <f t="shared" si="42"/>
        <v>226.64065337492039</v>
      </c>
      <c r="Z158" s="107">
        <f>IF(H158&gt;0, rate1(1,$L$52,$L$51,$L$54,U158,$L$53,$L$50,Y158),"")</f>
        <v>2333.5317823124265</v>
      </c>
      <c r="AA158" s="335">
        <f t="shared" si="59"/>
        <v>1.3571047928120938</v>
      </c>
      <c r="AB158" s="335">
        <f t="shared" si="60"/>
        <v>-5.9703911922099557E-3</v>
      </c>
      <c r="AC158" s="327">
        <f t="shared" si="61"/>
        <v>0.16032677652940672</v>
      </c>
      <c r="AD158" s="327">
        <f t="shared" si="62"/>
        <v>-0.12474522617456638</v>
      </c>
      <c r="AE158" s="327">
        <f t="shared" si="63"/>
        <v>-2.0898302453567223E-2</v>
      </c>
      <c r="AF158" s="327">
        <f t="shared" si="64"/>
        <v>1495.0992576780518</v>
      </c>
      <c r="AG158" s="327">
        <f t="shared" si="65"/>
        <v>1482.6529687292473</v>
      </c>
      <c r="AH158" s="327">
        <f t="shared" si="66"/>
        <v>8.4887705090045547</v>
      </c>
      <c r="AI158" s="327">
        <f t="shared" si="67"/>
        <v>68.723956544101924</v>
      </c>
      <c r="AJ158" s="327">
        <f t="shared" si="68"/>
        <v>1.8503236519791126</v>
      </c>
      <c r="AK158" s="336">
        <f t="shared" si="69"/>
        <v>14.200651856603999</v>
      </c>
      <c r="AL158" s="42">
        <f t="shared" si="70"/>
        <v>12.182831320193136</v>
      </c>
      <c r="BA158" s="8"/>
    </row>
    <row r="159" spans="1:53" x14ac:dyDescent="0.25">
      <c r="A159" s="115"/>
      <c r="B159" s="327">
        <f t="shared" si="43"/>
        <v>1495.0992576780518</v>
      </c>
      <c r="C159" s="327">
        <f t="shared" si="44"/>
        <v>1482.6529687292473</v>
      </c>
      <c r="D159" s="327">
        <f t="shared" si="45"/>
        <v>8.4887705090045547</v>
      </c>
      <c r="E159" s="327">
        <f t="shared" si="36"/>
        <v>60.519682709722929</v>
      </c>
      <c r="F159" s="327">
        <f t="shared" si="46"/>
        <v>60.411738736688349</v>
      </c>
      <c r="G159" s="327">
        <f t="shared" si="47"/>
        <v>3803.5882413506365</v>
      </c>
      <c r="H159" s="312">
        <f t="shared" si="71"/>
        <v>0.02</v>
      </c>
      <c r="I159" s="327">
        <f t="shared" si="48"/>
        <v>7.4677733692827131</v>
      </c>
      <c r="J159" s="327">
        <f t="shared" si="38"/>
        <v>1848</v>
      </c>
      <c r="K159" s="334">
        <f t="shared" si="49"/>
        <v>-1</v>
      </c>
      <c r="L159" s="322">
        <f t="shared" si="50"/>
        <v>8.4687705090045551</v>
      </c>
      <c r="M159" s="322">
        <f t="shared" si="51"/>
        <v>8.4787705090045549</v>
      </c>
      <c r="N159" s="327">
        <f t="shared" si="52"/>
        <v>-5.6496305423195281E-2</v>
      </c>
      <c r="O159" s="327">
        <f t="shared" si="39"/>
        <v>0.62216879112312551</v>
      </c>
      <c r="P159" s="331">
        <f t="shared" si="41"/>
        <v>225.42351013966734</v>
      </c>
      <c r="Q159" s="327">
        <f t="shared" si="53"/>
        <v>1975.2601985341553</v>
      </c>
      <c r="R159" s="276">
        <f>IF(H159&gt;0, rate1(1,$L$52,$L$51,$L$54,L159,$L$53,$L$50,P159),"")</f>
        <v>2332.1056517239449</v>
      </c>
      <c r="S159" s="322">
        <f t="shared" si="54"/>
        <v>1.3613439601672399</v>
      </c>
      <c r="T159" s="322">
        <f t="shared" si="55"/>
        <v>0.15635049053275235</v>
      </c>
      <c r="U159" s="327">
        <f t="shared" si="40"/>
        <v>8.4887705090045547</v>
      </c>
      <c r="V159" s="335">
        <f t="shared" si="56"/>
        <v>8.4887705090045547</v>
      </c>
      <c r="W159" s="327">
        <f t="shared" si="57"/>
        <v>2.1224002141728704E-3</v>
      </c>
      <c r="X159" s="327">
        <f t="shared" si="58"/>
        <v>1981.9604146220895</v>
      </c>
      <c r="Y159" s="327">
        <f t="shared" si="42"/>
        <v>225.95556002586102</v>
      </c>
      <c r="Z159" s="107">
        <f>IF(H159&gt;0, rate1(1,$L$52,$L$51,$L$54,U159,$L$53,$L$50,Y159),"")</f>
        <v>2332.7307317645573</v>
      </c>
      <c r="AA159" s="335">
        <f t="shared" si="59"/>
        <v>1.3655957068923863</v>
      </c>
      <c r="AB159" s="335">
        <f t="shared" si="60"/>
        <v>-5.805320396712433E-3</v>
      </c>
      <c r="AC159" s="327">
        <f t="shared" si="61"/>
        <v>0.15635049053275235</v>
      </c>
      <c r="AD159" s="327">
        <f t="shared" si="62"/>
        <v>-0.12791773106596294</v>
      </c>
      <c r="AE159" s="327">
        <f t="shared" si="63"/>
        <v>-2.0036202287762227E-2</v>
      </c>
      <c r="AF159" s="327">
        <f t="shared" si="64"/>
        <v>1494.8864108820958</v>
      </c>
      <c r="AG159" s="327">
        <f t="shared" si="65"/>
        <v>1482.4966182387145</v>
      </c>
      <c r="AH159" s="327">
        <f t="shared" si="66"/>
        <v>8.4694824446983059</v>
      </c>
      <c r="AI159" s="327">
        <f t="shared" si="67"/>
        <v>67.042627514398646</v>
      </c>
      <c r="AJ159" s="327">
        <f t="shared" si="68"/>
        <v>1.8689466040664455</v>
      </c>
      <c r="AK159" s="336">
        <f t="shared" si="69"/>
        <v>14.462876377878288</v>
      </c>
      <c r="AL159" s="42">
        <f t="shared" si="70"/>
        <v>12.309833191886636</v>
      </c>
      <c r="BA159" s="8"/>
    </row>
    <row r="160" spans="1:53" x14ac:dyDescent="0.25">
      <c r="A160" s="115"/>
      <c r="B160" s="327">
        <f t="shared" si="43"/>
        <v>1494.8864108820958</v>
      </c>
      <c r="C160" s="327">
        <f t="shared" si="44"/>
        <v>1482.4966182387145</v>
      </c>
      <c r="D160" s="327">
        <f t="shared" si="45"/>
        <v>8.4694824446983059</v>
      </c>
      <c r="E160" s="327">
        <f t="shared" si="36"/>
        <v>60.72641659673689</v>
      </c>
      <c r="F160" s="327">
        <f t="shared" si="46"/>
        <v>60.623049653229913</v>
      </c>
      <c r="G160" s="327">
        <f t="shared" si="47"/>
        <v>3790.872376796312</v>
      </c>
      <c r="H160" s="312">
        <f t="shared" si="71"/>
        <v>0.02</v>
      </c>
      <c r="I160" s="327">
        <f t="shared" si="48"/>
        <v>7.433875586028762</v>
      </c>
      <c r="J160" s="327">
        <f t="shared" si="38"/>
        <v>1848</v>
      </c>
      <c r="K160" s="334">
        <f t="shared" si="49"/>
        <v>-1</v>
      </c>
      <c r="L160" s="322">
        <f t="shared" si="50"/>
        <v>8.4494824446983063</v>
      </c>
      <c r="M160" s="322">
        <f t="shared" si="51"/>
        <v>8.4594824446983061</v>
      </c>
      <c r="N160" s="327">
        <f t="shared" si="52"/>
        <v>-5.6372668348650734E-2</v>
      </c>
      <c r="O160" s="327">
        <f t="shared" si="39"/>
        <v>0.61484061159558978</v>
      </c>
      <c r="P160" s="331">
        <f t="shared" si="41"/>
        <v>224.73928197493797</v>
      </c>
      <c r="Q160" s="327">
        <f t="shared" si="53"/>
        <v>1962.1985430105005</v>
      </c>
      <c r="R160" s="276">
        <f>IF(H160&gt;0, rate1(1,$L$52,$L$51,$L$54,L160,$L$53,$L$50,P160),"")</f>
        <v>2331.297930611524</v>
      </c>
      <c r="S160" s="322">
        <f t="shared" si="54"/>
        <v>1.3689343615396012</v>
      </c>
      <c r="T160" s="322">
        <f t="shared" si="55"/>
        <v>0.15279863906794086</v>
      </c>
      <c r="U160" s="327">
        <f t="shared" si="40"/>
        <v>8.4694824446983059</v>
      </c>
      <c r="V160" s="335">
        <f t="shared" si="56"/>
        <v>8.4694824446983059</v>
      </c>
      <c r="W160" s="327">
        <f t="shared" si="57"/>
        <v>2.1127661962623279E-3</v>
      </c>
      <c r="X160" s="327">
        <f t="shared" si="58"/>
        <v>1969.2180419260335</v>
      </c>
      <c r="Y160" s="327">
        <f t="shared" si="42"/>
        <v>225.27092706364402</v>
      </c>
      <c r="Z160" s="107">
        <f>IF(H160&gt;0, rate1(1,$L$52,$L$51,$L$54,U160,$L$53,$L$50,Y160),"")</f>
        <v>2331.9259063734021</v>
      </c>
      <c r="AA160" s="335">
        <f t="shared" si="59"/>
        <v>1.3734615725511079</v>
      </c>
      <c r="AB160" s="335">
        <f t="shared" si="60"/>
        <v>-5.6572519143805551E-3</v>
      </c>
      <c r="AC160" s="327">
        <f t="shared" si="61"/>
        <v>0.15279863906794086</v>
      </c>
      <c r="AD160" s="327">
        <f t="shared" si="62"/>
        <v>-0.13089121815481053</v>
      </c>
      <c r="AE160" s="327">
        <f t="shared" si="63"/>
        <v>-1.9236587162242656E-2</v>
      </c>
      <c r="AF160" s="327">
        <f t="shared" si="64"/>
        <v>1494.6772395746791</v>
      </c>
      <c r="AG160" s="327">
        <f t="shared" si="65"/>
        <v>1482.3438195996466</v>
      </c>
      <c r="AH160" s="327">
        <f t="shared" si="66"/>
        <v>8.450192708965659</v>
      </c>
      <c r="AI160" s="327">
        <f t="shared" si="67"/>
        <v>65.542304594188082</v>
      </c>
      <c r="AJ160" s="327">
        <f t="shared" si="68"/>
        <v>1.8871527997870534</v>
      </c>
      <c r="AK160" s="336">
        <f t="shared" si="69"/>
        <v>14.717878927561305</v>
      </c>
      <c r="AL160" s="42">
        <f t="shared" si="70"/>
        <v>12.433727967533244</v>
      </c>
      <c r="BA160" s="8"/>
    </row>
    <row r="161" spans="1:53" x14ac:dyDescent="0.25">
      <c r="A161" s="115"/>
      <c r="B161" s="327">
        <f t="shared" si="43"/>
        <v>1494.6772395746791</v>
      </c>
      <c r="C161" s="327">
        <f t="shared" si="44"/>
        <v>1482.3438195996466</v>
      </c>
      <c r="D161" s="327">
        <f t="shared" si="45"/>
        <v>8.450192708965659</v>
      </c>
      <c r="E161" s="327">
        <f t="shared" si="36"/>
        <v>60.924986706172106</v>
      </c>
      <c r="F161" s="327">
        <f t="shared" si="46"/>
        <v>60.825701651454494</v>
      </c>
      <c r="G161" s="327">
        <f t="shared" si="47"/>
        <v>3777.5540495662704</v>
      </c>
      <c r="H161" s="312">
        <f t="shared" si="71"/>
        <v>0.02</v>
      </c>
      <c r="I161" s="327">
        <f t="shared" si="48"/>
        <v>7.4000519850194904</v>
      </c>
      <c r="J161" s="327">
        <f t="shared" si="38"/>
        <v>1848</v>
      </c>
      <c r="K161" s="334">
        <f t="shared" si="49"/>
        <v>-1</v>
      </c>
      <c r="L161" s="322">
        <f t="shared" si="50"/>
        <v>8.4301927089656594</v>
      </c>
      <c r="M161" s="322">
        <f t="shared" si="51"/>
        <v>8.4401927089656592</v>
      </c>
      <c r="N161" s="327">
        <f t="shared" si="52"/>
        <v>-5.6248998642193015E-2</v>
      </c>
      <c r="O161" s="327">
        <f t="shared" si="39"/>
        <v>0.60765092108457142</v>
      </c>
      <c r="P161" s="331">
        <f t="shared" si="41"/>
        <v>224.05551576150685</v>
      </c>
      <c r="Q161" s="327">
        <f t="shared" si="53"/>
        <v>1948.5672983583536</v>
      </c>
      <c r="R161" s="276">
        <f>IF(H161&gt;0, rate1(1,$L$52,$L$51,$L$54,L161,$L$53,$L$50,P161),"")</f>
        <v>2330.4863904013932</v>
      </c>
      <c r="S161" s="322">
        <f t="shared" si="54"/>
        <v>1.3759881004730965</v>
      </c>
      <c r="T161" s="322">
        <f t="shared" si="55"/>
        <v>0.14960313523597235</v>
      </c>
      <c r="U161" s="327">
        <f t="shared" si="40"/>
        <v>8.450192708965659</v>
      </c>
      <c r="V161" s="335">
        <f t="shared" si="56"/>
        <v>8.450192708965659</v>
      </c>
      <c r="W161" s="327">
        <f t="shared" si="57"/>
        <v>2.1031532615189974E-3</v>
      </c>
      <c r="X161" s="327">
        <f t="shared" si="58"/>
        <v>1955.8688834878535</v>
      </c>
      <c r="Y161" s="327">
        <f t="shared" si="42"/>
        <v>224.5867554020497</v>
      </c>
      <c r="Z161" s="107">
        <f>IF(H161&gt;0, rate1(1,$L$52,$L$51,$L$54,U161,$L$53,$L$50,Y161),"")</f>
        <v>2331.1172810259823</v>
      </c>
      <c r="AA161" s="335">
        <f t="shared" si="59"/>
        <v>1.3807703510777301</v>
      </c>
      <c r="AB161" s="335">
        <f t="shared" si="60"/>
        <v>-5.5234165568990483E-3</v>
      </c>
      <c r="AC161" s="327">
        <f t="shared" si="61"/>
        <v>0.14960313523597235</v>
      </c>
      <c r="AD161" s="327">
        <f t="shared" si="62"/>
        <v>-0.13368703783148364</v>
      </c>
      <c r="AE161" s="327">
        <f t="shared" si="63"/>
        <v>-1.8490762384636789E-2</v>
      </c>
      <c r="AF161" s="327">
        <f t="shared" si="64"/>
        <v>1494.471387440801</v>
      </c>
      <c r="AG161" s="327">
        <f t="shared" si="65"/>
        <v>1482.1942164644106</v>
      </c>
      <c r="AH161" s="327">
        <f t="shared" si="66"/>
        <v>8.4309013015385386</v>
      </c>
      <c r="AI161" s="327">
        <f t="shared" si="67"/>
        <v>64.193953610776219</v>
      </c>
      <c r="AJ161" s="327">
        <f t="shared" si="68"/>
        <v>1.9049844535678246</v>
      </c>
      <c r="AK161" s="336">
        <f t="shared" si="69"/>
        <v>14.966341439558983</v>
      </c>
      <c r="AL161" s="42">
        <f t="shared" si="70"/>
        <v>12.554850146423304</v>
      </c>
      <c r="BA161" s="8"/>
    </row>
    <row r="162" spans="1:53" x14ac:dyDescent="0.25">
      <c r="A162" s="115"/>
      <c r="B162" s="327">
        <f t="shared" si="43"/>
        <v>1494.471387440801</v>
      </c>
      <c r="C162" s="327">
        <f t="shared" si="44"/>
        <v>1482.1942164644106</v>
      </c>
      <c r="D162" s="327">
        <f t="shared" si="45"/>
        <v>8.4309013015385386</v>
      </c>
      <c r="E162" s="327">
        <f t="shared" si="36"/>
        <v>61.116225258818574</v>
      </c>
      <c r="F162" s="327">
        <f t="shared" si="46"/>
        <v>61.02060598249534</v>
      </c>
      <c r="G162" s="327">
        <f t="shared" si="47"/>
        <v>3763.7014890175051</v>
      </c>
      <c r="H162" s="312">
        <f t="shared" si="71"/>
        <v>0.02</v>
      </c>
      <c r="I162" s="327">
        <f t="shared" si="48"/>
        <v>7.3663025858342275</v>
      </c>
      <c r="J162" s="327">
        <f t="shared" si="38"/>
        <v>1848</v>
      </c>
      <c r="K162" s="334">
        <f t="shared" si="49"/>
        <v>-1</v>
      </c>
      <c r="L162" s="322">
        <f t="shared" si="50"/>
        <v>8.410901301538539</v>
      </c>
      <c r="M162" s="322">
        <f t="shared" si="51"/>
        <v>8.4209013015385388</v>
      </c>
      <c r="N162" s="327">
        <f t="shared" si="52"/>
        <v>-5.6125296296404059E-2</v>
      </c>
      <c r="O162" s="327">
        <f t="shared" si="39"/>
        <v>0.6005853838404881</v>
      </c>
      <c r="P162" s="331">
        <f t="shared" si="41"/>
        <v>223.37221241908699</v>
      </c>
      <c r="Q162" s="327">
        <f t="shared" si="53"/>
        <v>1934.4293597771907</v>
      </c>
      <c r="R162" s="276">
        <f>IF(H162&gt;0, rate1(1,$L$52,$L$51,$L$54,L162,$L$53,$L$50,P162),"")</f>
        <v>2329.6710056030029</v>
      </c>
      <c r="S162" s="322">
        <f t="shared" si="54"/>
        <v>1.3825585161446592</v>
      </c>
      <c r="T162" s="322">
        <f t="shared" si="55"/>
        <v>0.14671035652799599</v>
      </c>
      <c r="U162" s="327">
        <f t="shared" si="40"/>
        <v>8.4309013015385386</v>
      </c>
      <c r="V162" s="335">
        <f t="shared" si="56"/>
        <v>8.4309013015385386</v>
      </c>
      <c r="W162" s="327">
        <f t="shared" si="57"/>
        <v>2.0935614155312976E-3</v>
      </c>
      <c r="X162" s="327">
        <f t="shared" si="58"/>
        <v>1941.9816145174109</v>
      </c>
      <c r="Y162" s="327">
        <f t="shared" si="42"/>
        <v>223.90304595827783</v>
      </c>
      <c r="Z162" s="107">
        <f>IF(H162&gt;0, rate1(1,$L$52,$L$51,$L$54,U162,$L$53,$L$50,Y162),"")</f>
        <v>2330.3048303947503</v>
      </c>
      <c r="AA162" s="335">
        <f t="shared" si="59"/>
        <v>1.387578684631128</v>
      </c>
      <c r="AB162" s="335">
        <f t="shared" si="60"/>
        <v>-5.40164229496731E-3</v>
      </c>
      <c r="AC162" s="327">
        <f t="shared" si="61"/>
        <v>0.14671035652799599</v>
      </c>
      <c r="AD162" s="327">
        <f t="shared" si="62"/>
        <v>-0.13632302772151944</v>
      </c>
      <c r="AE162" s="327">
        <f t="shared" si="63"/>
        <v>-1.7791899210148187E-2</v>
      </c>
      <c r="AF162" s="327">
        <f t="shared" si="64"/>
        <v>1494.2685517879765</v>
      </c>
      <c r="AG162" s="327">
        <f t="shared" si="65"/>
        <v>1482.0475061078826</v>
      </c>
      <c r="AH162" s="327">
        <f t="shared" si="66"/>
        <v>8.4116082221477591</v>
      </c>
      <c r="AI162" s="327">
        <f t="shared" si="67"/>
        <v>62.974710238118817</v>
      </c>
      <c r="AJ162" s="327">
        <f t="shared" si="68"/>
        <v>1.9224774286339688</v>
      </c>
      <c r="AK162" s="336">
        <f t="shared" si="69"/>
        <v>15.208837568979041</v>
      </c>
      <c r="AL162" s="42">
        <f t="shared" si="70"/>
        <v>12.673480572696018</v>
      </c>
      <c r="BA162" s="8"/>
    </row>
    <row r="163" spans="1:53" x14ac:dyDescent="0.25">
      <c r="A163" s="115"/>
      <c r="B163" s="327">
        <f t="shared" si="43"/>
        <v>1494.2685517879765</v>
      </c>
      <c r="C163" s="327">
        <f t="shared" si="44"/>
        <v>1482.0475061078826</v>
      </c>
      <c r="D163" s="327">
        <f t="shared" si="45"/>
        <v>8.4116082221477591</v>
      </c>
      <c r="E163" s="327">
        <f t="shared" si="36"/>
        <v>61.300839904514802</v>
      </c>
      <c r="F163" s="327">
        <f t="shared" si="46"/>
        <v>61.208532581666688</v>
      </c>
      <c r="G163" s="327">
        <f t="shared" si="47"/>
        <v>3749.3726218245906</v>
      </c>
      <c r="H163" s="312">
        <f t="shared" si="71"/>
        <v>0.02</v>
      </c>
      <c r="I163" s="327">
        <f t="shared" si="48"/>
        <v>7.3326274080563962</v>
      </c>
      <c r="J163" s="327">
        <f t="shared" si="38"/>
        <v>1848</v>
      </c>
      <c r="K163" s="334">
        <f t="shared" si="49"/>
        <v>-1</v>
      </c>
      <c r="L163" s="322">
        <f t="shared" si="50"/>
        <v>8.3916082221477595</v>
      </c>
      <c r="M163" s="322">
        <f t="shared" si="51"/>
        <v>8.4016082221477593</v>
      </c>
      <c r="N163" s="327">
        <f t="shared" si="52"/>
        <v>-5.6001561303844483E-2</v>
      </c>
      <c r="O163" s="327">
        <f t="shared" si="39"/>
        <v>0.59363196400173091</v>
      </c>
      <c r="P163" s="331">
        <f t="shared" si="41"/>
        <v>222.68937287083625</v>
      </c>
      <c r="Q163" s="327">
        <f t="shared" si="53"/>
        <v>1919.838455873542</v>
      </c>
      <c r="R163" s="276">
        <f>IF(H163&gt;0, rate1(1,$L$52,$L$51,$L$54,L163,$L$53,$L$50,P163),"")</f>
        <v>2328.8517505073041</v>
      </c>
      <c r="S163" s="322">
        <f t="shared" si="54"/>
        <v>1.3886908247678174</v>
      </c>
      <c r="T163" s="322">
        <f t="shared" si="55"/>
        <v>0.14407739451348447</v>
      </c>
      <c r="U163" s="327">
        <f t="shared" si="40"/>
        <v>8.4116082221477591</v>
      </c>
      <c r="V163" s="335">
        <f t="shared" si="56"/>
        <v>8.4116082221477591</v>
      </c>
      <c r="W163" s="327">
        <f t="shared" si="57"/>
        <v>2.0839906638450145E-3</v>
      </c>
      <c r="X163" s="327">
        <f t="shared" si="58"/>
        <v>1927.6145396479401</v>
      </c>
      <c r="Y163" s="327">
        <f t="shared" si="42"/>
        <v>223.21979965295748</v>
      </c>
      <c r="Z163" s="107">
        <f>IF(H163&gt;0, rate1(1,$L$52,$L$51,$L$54,U163,$L$53,$L$50,Y163),"")</f>
        <v>2329.4885289353529</v>
      </c>
      <c r="AA163" s="335">
        <f t="shared" si="59"/>
        <v>1.3939344126693258</v>
      </c>
      <c r="AB163" s="335">
        <f t="shared" si="60"/>
        <v>-5.2901970399685441E-3</v>
      </c>
      <c r="AC163" s="327">
        <f t="shared" si="61"/>
        <v>0.14407739451348447</v>
      </c>
      <c r="AD163" s="327">
        <f t="shared" si="62"/>
        <v>-0.13881428150151731</v>
      </c>
      <c r="AE163" s="327">
        <f t="shared" si="63"/>
        <v>-1.7134516643670432E-2</v>
      </c>
      <c r="AF163" s="327">
        <f t="shared" si="64"/>
        <v>1494.0684728321592</v>
      </c>
      <c r="AG163" s="327">
        <f t="shared" si="65"/>
        <v>1481.9034287133691</v>
      </c>
      <c r="AH163" s="327">
        <f t="shared" si="66"/>
        <v>8.3923134705233249</v>
      </c>
      <c r="AI163" s="327">
        <f t="shared" si="67"/>
        <v>61.866280016364051</v>
      </c>
      <c r="AJ163" s="327">
        <f t="shared" si="68"/>
        <v>1.939662506416292</v>
      </c>
      <c r="AK163" s="336">
        <f t="shared" si="69"/>
        <v>15.445855579672694</v>
      </c>
      <c r="AL163" s="42">
        <f t="shared" si="70"/>
        <v>12.789857837216061</v>
      </c>
      <c r="BA163" s="8"/>
    </row>
    <row r="164" spans="1:53" x14ac:dyDescent="0.25">
      <c r="A164" s="115"/>
      <c r="B164" s="327">
        <f t="shared" si="43"/>
        <v>1494.0684728321592</v>
      </c>
      <c r="C164" s="327">
        <f t="shared" si="44"/>
        <v>1481.9034287133691</v>
      </c>
      <c r="D164" s="327">
        <f t="shared" si="45"/>
        <v>8.3923134705233249</v>
      </c>
      <c r="E164" s="327">
        <f t="shared" si="36"/>
        <v>61.479438544761528</v>
      </c>
      <c r="F164" s="327">
        <f t="shared" si="46"/>
        <v>61.390139224638162</v>
      </c>
      <c r="G164" s="327">
        <f t="shared" si="47"/>
        <v>3734.6171612520411</v>
      </c>
      <c r="H164" s="312">
        <f t="shared" si="71"/>
        <v>0.02</v>
      </c>
      <c r="I164" s="327">
        <f t="shared" si="48"/>
        <v>7.2990264712740549</v>
      </c>
      <c r="J164" s="327">
        <f t="shared" si="38"/>
        <v>1848</v>
      </c>
      <c r="K164" s="334">
        <f t="shared" si="49"/>
        <v>-1</v>
      </c>
      <c r="L164" s="322">
        <f t="shared" si="50"/>
        <v>8.3723134705233253</v>
      </c>
      <c r="M164" s="322">
        <f t="shared" si="51"/>
        <v>8.3823134705233251</v>
      </c>
      <c r="N164" s="327">
        <f t="shared" si="52"/>
        <v>-5.5877793657099772E-2</v>
      </c>
      <c r="O164" s="327">
        <f t="shared" si="39"/>
        <v>0.5867804370061851</v>
      </c>
      <c r="P164" s="331">
        <f t="shared" si="41"/>
        <v>222.00699804338939</v>
      </c>
      <c r="Q164" s="327">
        <f t="shared" si="53"/>
        <v>1904.8409432461085</v>
      </c>
      <c r="R164" s="276">
        <f>IF(H164&gt;0, rate1(1,$L$52,$L$51,$L$54,L164,$L$53,$L$50,P164),"")</f>
        <v>2328.0285991844885</v>
      </c>
      <c r="S164" s="322">
        <f t="shared" si="54"/>
        <v>1.3944237782752034</v>
      </c>
      <c r="T164" s="322">
        <f t="shared" si="55"/>
        <v>0.14166943459000048</v>
      </c>
      <c r="U164" s="327">
        <f t="shared" si="40"/>
        <v>8.3923134705233249</v>
      </c>
      <c r="V164" s="335">
        <f t="shared" si="56"/>
        <v>8.3923134705233249</v>
      </c>
      <c r="W164" s="327">
        <f t="shared" si="57"/>
        <v>2.0744410120343559E-3</v>
      </c>
      <c r="X164" s="327">
        <f t="shared" si="58"/>
        <v>1912.8176960618534</v>
      </c>
      <c r="Y164" s="327">
        <f t="shared" si="42"/>
        <v>222.53701741017878</v>
      </c>
      <c r="Z164" s="107">
        <f>IF(H164&gt;0, rate1(1,$L$52,$L$51,$L$54,U164,$L$53,$L$50,Y164),"")</f>
        <v>2328.6683508843857</v>
      </c>
      <c r="AA164" s="335">
        <f t="shared" si="59"/>
        <v>1.3998784049537125</v>
      </c>
      <c r="AB164" s="335">
        <f t="shared" si="60"/>
        <v>-5.1876795204144135E-3</v>
      </c>
      <c r="AC164" s="327">
        <f t="shared" si="61"/>
        <v>0.14166943459000048</v>
      </c>
      <c r="AD164" s="327">
        <f t="shared" si="62"/>
        <v>-0.14117371229638317</v>
      </c>
      <c r="AE164" s="327">
        <f t="shared" si="63"/>
        <v>-1.6514134573380558E-2</v>
      </c>
      <c r="AF164" s="327">
        <f t="shared" si="64"/>
        <v>1493.8709256039122</v>
      </c>
      <c r="AG164" s="327">
        <f t="shared" si="65"/>
        <v>1481.761759278779</v>
      </c>
      <c r="AH164" s="327">
        <f t="shared" si="66"/>
        <v>8.3730170463944269</v>
      </c>
      <c r="AI164" s="327">
        <f t="shared" si="67"/>
        <v>60.853820541391748</v>
      </c>
      <c r="AJ164" s="327">
        <f t="shared" si="68"/>
        <v>1.9565663454555675</v>
      </c>
      <c r="AK164" s="336">
        <f t="shared" si="69"/>
        <v>15.677815316180183</v>
      </c>
      <c r="AL164" s="42">
        <f t="shared" si="70"/>
        <v>12.904186722686303</v>
      </c>
      <c r="BA164" s="8"/>
    </row>
    <row r="165" spans="1:53" x14ac:dyDescent="0.25">
      <c r="A165" s="115"/>
      <c r="B165" s="327">
        <f t="shared" si="43"/>
        <v>1493.8709256039122</v>
      </c>
      <c r="C165" s="327">
        <f t="shared" si="44"/>
        <v>1481.761759278779</v>
      </c>
      <c r="D165" s="327">
        <f t="shared" si="45"/>
        <v>8.3730170463944269</v>
      </c>
      <c r="E165" s="327">
        <f t="shared" si="36"/>
        <v>61.652548096106734</v>
      </c>
      <c r="F165" s="327">
        <f t="shared" si="46"/>
        <v>61.565993320434131</v>
      </c>
      <c r="G165" s="327">
        <f t="shared" si="47"/>
        <v>3719.4781740649323</v>
      </c>
      <c r="H165" s="312">
        <f t="shared" si="71"/>
        <v>0.02</v>
      </c>
      <c r="I165" s="327">
        <f t="shared" si="48"/>
        <v>7.2654997950799043</v>
      </c>
      <c r="J165" s="327">
        <f t="shared" si="38"/>
        <v>1848</v>
      </c>
      <c r="K165" s="334">
        <f t="shared" si="49"/>
        <v>-1</v>
      </c>
      <c r="L165" s="322">
        <f t="shared" si="50"/>
        <v>8.3530170463944273</v>
      </c>
      <c r="M165" s="322">
        <f t="shared" si="51"/>
        <v>8.3630170463944271</v>
      </c>
      <c r="N165" s="327">
        <f t="shared" si="52"/>
        <v>-5.575399334870923E-2</v>
      </c>
      <c r="O165" s="327">
        <f t="shared" si="39"/>
        <v>0.58002202768349076</v>
      </c>
      <c r="P165" s="331">
        <f t="shared" si="41"/>
        <v>221.3250888668797</v>
      </c>
      <c r="Q165" s="327">
        <f t="shared" si="53"/>
        <v>1889.4771674846952</v>
      </c>
      <c r="R165" s="276">
        <f>IF(H165&gt;0, rate1(1,$L$52,$L$51,$L$54,L165,$L$53,$L$50,P165),"")</f>
        <v>2327.2015254816829</v>
      </c>
      <c r="S165" s="322">
        <f t="shared" si="54"/>
        <v>1.3997909073025359</v>
      </c>
      <c r="T165" s="322">
        <f t="shared" si="55"/>
        <v>0.1394578824338249</v>
      </c>
      <c r="U165" s="327">
        <f t="shared" si="40"/>
        <v>8.3730170463944269</v>
      </c>
      <c r="V165" s="335">
        <f t="shared" si="56"/>
        <v>8.3730170463944269</v>
      </c>
      <c r="W165" s="327">
        <f t="shared" si="57"/>
        <v>2.0649124656841877E-3</v>
      </c>
      <c r="X165" s="327">
        <f t="shared" si="58"/>
        <v>1897.6344307786881</v>
      </c>
      <c r="Y165" s="327">
        <f t="shared" si="42"/>
        <v>221.85470015751454</v>
      </c>
      <c r="Z165" s="107">
        <f>IF(H165&gt;0, rate1(1,$L$52,$L$51,$L$54,U165,$L$53,$L$50,Y165),"")</f>
        <v>2327.8442702571119</v>
      </c>
      <c r="AA165" s="335">
        <f t="shared" si="59"/>
        <v>1.4054459267606667</v>
      </c>
      <c r="AB165" s="335">
        <f t="shared" si="60"/>
        <v>-5.0929416955348972E-3</v>
      </c>
      <c r="AC165" s="327">
        <f t="shared" si="61"/>
        <v>0.1394578824338249</v>
      </c>
      <c r="AD165" s="327">
        <f t="shared" si="62"/>
        <v>-0.14341247444001837</v>
      </c>
      <c r="AE165" s="327">
        <f t="shared" si="63"/>
        <v>-1.5927033824645782E-2</v>
      </c>
      <c r="AF165" s="327">
        <f t="shared" si="64"/>
        <v>1493.6757137281297</v>
      </c>
      <c r="AG165" s="327">
        <f t="shared" si="65"/>
        <v>1481.6223013963452</v>
      </c>
      <c r="AH165" s="327">
        <f t="shared" si="66"/>
        <v>8.3537189494891102</v>
      </c>
      <c r="AI165" s="327">
        <f t="shared" si="67"/>
        <v>59.925142239222275</v>
      </c>
      <c r="AJ165" s="327">
        <f t="shared" si="68"/>
        <v>1.973212218299796</v>
      </c>
      <c r="AK165" s="336">
        <f t="shared" si="69"/>
        <v>15.905081038701816</v>
      </c>
      <c r="AL165" s="42">
        <f t="shared" si="70"/>
        <v>13.016644583046794</v>
      </c>
      <c r="BA165" s="8"/>
    </row>
    <row r="166" spans="1:53" x14ac:dyDescent="0.25">
      <c r="A166" s="115"/>
      <c r="B166" s="327">
        <f t="shared" si="43"/>
        <v>1493.6757137281297</v>
      </c>
      <c r="C166" s="327">
        <f t="shared" si="44"/>
        <v>1481.6223013963452</v>
      </c>
      <c r="D166" s="327">
        <f t="shared" si="45"/>
        <v>8.3537189494891102</v>
      </c>
      <c r="E166" s="327">
        <f t="shared" si="36"/>
        <v>61.820628918534965</v>
      </c>
      <c r="F166" s="327">
        <f t="shared" si="46"/>
        <v>61.736588507320846</v>
      </c>
      <c r="G166" s="327">
        <f t="shared" si="47"/>
        <v>3703.9932777486538</v>
      </c>
      <c r="H166" s="312">
        <f t="shared" si="71"/>
        <v>0.02</v>
      </c>
      <c r="I166" s="327">
        <f t="shared" si="48"/>
        <v>7.2320473990707335</v>
      </c>
      <c r="J166" s="327">
        <f t="shared" si="38"/>
        <v>1848</v>
      </c>
      <c r="K166" s="334">
        <f t="shared" si="49"/>
        <v>-1</v>
      </c>
      <c r="L166" s="322">
        <f t="shared" si="50"/>
        <v>8.3337189494891106</v>
      </c>
      <c r="M166" s="322">
        <f t="shared" si="51"/>
        <v>8.3437189494891104</v>
      </c>
      <c r="N166" s="327">
        <f t="shared" si="52"/>
        <v>-5.5630160371244131E-2</v>
      </c>
      <c r="O166" s="327">
        <f t="shared" si="39"/>
        <v>0.57334913685595401</v>
      </c>
      <c r="P166" s="331">
        <f t="shared" si="41"/>
        <v>220.64364627494911</v>
      </c>
      <c r="Q166" s="327">
        <f t="shared" si="53"/>
        <v>1873.78251315334</v>
      </c>
      <c r="R166" s="276">
        <f>IF(H166&gt;0, rate1(1,$L$52,$L$51,$L$54,L166,$L$53,$L$50,P166),"")</f>
        <v>2326.3705030206047</v>
      </c>
      <c r="S166" s="322">
        <f t="shared" si="54"/>
        <v>1.4048214700064694</v>
      </c>
      <c r="T166" s="322">
        <f t="shared" si="55"/>
        <v>0.13741899699725688</v>
      </c>
      <c r="U166" s="327">
        <f t="shared" si="40"/>
        <v>8.3537189494891102</v>
      </c>
      <c r="V166" s="335">
        <f t="shared" si="56"/>
        <v>8.3537189494891102</v>
      </c>
      <c r="W166" s="327">
        <f t="shared" si="57"/>
        <v>2.055405030340296E-3</v>
      </c>
      <c r="X166" s="327">
        <f t="shared" si="58"/>
        <v>1882.102605794511</v>
      </c>
      <c r="Y166" s="327">
        <f t="shared" si="42"/>
        <v>221.1728488260301</v>
      </c>
      <c r="Z166" s="107">
        <f>IF(H166&gt;0, rate1(1,$L$52,$L$51,$L$54,U166,$L$53,$L$50,Y166),"")</f>
        <v>2327.0162608451346</v>
      </c>
      <c r="AA166" s="335">
        <f t="shared" si="59"/>
        <v>1.4106676754099043</v>
      </c>
      <c r="AB166" s="335">
        <f t="shared" si="60"/>
        <v>-5.0050324225998834E-3</v>
      </c>
      <c r="AC166" s="327">
        <f t="shared" si="61"/>
        <v>0.13741899699725688</v>
      </c>
      <c r="AD166" s="327">
        <f t="shared" si="62"/>
        <v>-0.14554028509172742</v>
      </c>
      <c r="AE166" s="327">
        <f t="shared" si="63"/>
        <v>-1.5370085476846002E-2</v>
      </c>
      <c r="AF166" s="327">
        <f t="shared" si="64"/>
        <v>1493.4826645707612</v>
      </c>
      <c r="AG166" s="327">
        <f t="shared" si="65"/>
        <v>1481.484882399348</v>
      </c>
      <c r="AH166" s="327">
        <f t="shared" si="66"/>
        <v>8.3344191795345779</v>
      </c>
      <c r="AI166" s="327">
        <f t="shared" si="67"/>
        <v>59.070125252546561</v>
      </c>
      <c r="AJ166" s="327">
        <f t="shared" si="68"/>
        <v>1.9896205864255034</v>
      </c>
      <c r="AK166" s="336">
        <f t="shared" si="69"/>
        <v>16.127971297338341</v>
      </c>
      <c r="AL166" s="42">
        <f t="shared" si="70"/>
        <v>13.127386245904876</v>
      </c>
      <c r="BA166" s="8"/>
    </row>
    <row r="167" spans="1:53" x14ac:dyDescent="0.25">
      <c r="A167" s="115"/>
      <c r="B167" s="327">
        <f t="shared" si="43"/>
        <v>1493.4826645707612</v>
      </c>
      <c r="C167" s="327">
        <f t="shared" si="44"/>
        <v>1481.484882399348</v>
      </c>
      <c r="D167" s="327">
        <f t="shared" si="45"/>
        <v>8.3344191795345779</v>
      </c>
      <c r="E167" s="327">
        <f t="shared" si="36"/>
        <v>61.984086079205717</v>
      </c>
      <c r="F167" s="327">
        <f t="shared" si="46"/>
        <v>61.902357498870344</v>
      </c>
      <c r="G167" s="327">
        <f t="shared" si="47"/>
        <v>3688.1955702817427</v>
      </c>
      <c r="H167" s="312">
        <f t="shared" si="71"/>
        <v>0.02</v>
      </c>
      <c r="I167" s="327">
        <f t="shared" si="48"/>
        <v>7.1986693028479749</v>
      </c>
      <c r="J167" s="327">
        <f t="shared" si="38"/>
        <v>1848</v>
      </c>
      <c r="K167" s="334">
        <f t="shared" si="49"/>
        <v>-1</v>
      </c>
      <c r="L167" s="322">
        <f t="shared" si="50"/>
        <v>8.3144191795345783</v>
      </c>
      <c r="M167" s="322">
        <f t="shared" si="51"/>
        <v>8.3244191795345781</v>
      </c>
      <c r="N167" s="327">
        <f t="shared" si="52"/>
        <v>-5.5506294717236671E-2</v>
      </c>
      <c r="O167" s="327">
        <f t="shared" si="39"/>
        <v>0.56675513122553278</v>
      </c>
      <c r="P167" s="331">
        <f t="shared" si="41"/>
        <v>219.96267120478106</v>
      </c>
      <c r="Q167" s="327">
        <f t="shared" si="53"/>
        <v>1857.7882261380832</v>
      </c>
      <c r="R167" s="276">
        <f>IF(H167&gt;0, rate1(1,$L$52,$L$51,$L$54,L167,$L$53,$L$50,P167),"")</f>
        <v>2325.5355051952138</v>
      </c>
      <c r="S167" s="322">
        <f t="shared" si="54"/>
        <v>1.4095411881356852</v>
      </c>
      <c r="T167" s="322">
        <f t="shared" si="55"/>
        <v>0.13553287514233334</v>
      </c>
      <c r="U167" s="327">
        <f t="shared" si="40"/>
        <v>8.3344191795345779</v>
      </c>
      <c r="V167" s="335">
        <f t="shared" si="56"/>
        <v>8.3344191795345779</v>
      </c>
      <c r="W167" s="327">
        <f t="shared" si="57"/>
        <v>2.0459187115910993E-3</v>
      </c>
      <c r="X167" s="327">
        <f t="shared" si="58"/>
        <v>1866.2555339979408</v>
      </c>
      <c r="Y167" s="327">
        <f t="shared" si="42"/>
        <v>220.49146435031611</v>
      </c>
      <c r="Z167" s="107">
        <f>IF(H167&gt;0, rate1(1,$L$52,$L$51,$L$54,U167,$L$53,$L$50,Y167),"")</f>
        <v>2326.1842962140745</v>
      </c>
      <c r="AA167" s="335">
        <f t="shared" si="59"/>
        <v>1.41557058056558</v>
      </c>
      <c r="AB167" s="335">
        <f t="shared" si="60"/>
        <v>-4.9231557941533319E-3</v>
      </c>
      <c r="AC167" s="327">
        <f t="shared" si="61"/>
        <v>0.13553287514233334</v>
      </c>
      <c r="AD167" s="327">
        <f t="shared" si="62"/>
        <v>-0.14756567348694172</v>
      </c>
      <c r="AE167" s="327">
        <f t="shared" si="63"/>
        <v>-1.4840626512929661E-2</v>
      </c>
      <c r="AF167" s="327">
        <f t="shared" si="64"/>
        <v>1493.2916254009017</v>
      </c>
      <c r="AG167" s="327">
        <f t="shared" si="65"/>
        <v>1481.3493495242055</v>
      </c>
      <c r="AH167" s="327">
        <f t="shared" si="66"/>
        <v>8.315117736257184</v>
      </c>
      <c r="AI167" s="327">
        <f t="shared" si="67"/>
        <v>58.280286342459526</v>
      </c>
      <c r="AJ167" s="327">
        <f t="shared" si="68"/>
        <v>2.0058095548539643</v>
      </c>
      <c r="AK167" s="336">
        <f t="shared" si="69"/>
        <v>16.346766644189543</v>
      </c>
      <c r="AL167" s="42">
        <f t="shared" si="70"/>
        <v>13.236547837371582</v>
      </c>
      <c r="BA167" s="8"/>
    </row>
    <row r="168" spans="1:53" x14ac:dyDescent="0.25">
      <c r="A168" s="115"/>
      <c r="B168" s="327">
        <f t="shared" si="43"/>
        <v>1493.2916254009017</v>
      </c>
      <c r="C168" s="327">
        <f t="shared" si="44"/>
        <v>1481.3493495242055</v>
      </c>
      <c r="D168" s="327">
        <f t="shared" si="45"/>
        <v>8.315117736257184</v>
      </c>
      <c r="E168" s="327">
        <f t="shared" si="36"/>
        <v>62.143278264381408</v>
      </c>
      <c r="F168" s="327">
        <f t="shared" si="46"/>
        <v>62.063682171793559</v>
      </c>
      <c r="G168" s="327">
        <f t="shared" si="47"/>
        <v>3672.1143626675303</v>
      </c>
      <c r="H168" s="312">
        <f t="shared" si="71"/>
        <v>0.02</v>
      </c>
      <c r="I168" s="327">
        <f t="shared" si="48"/>
        <v>7.1653655260176947</v>
      </c>
      <c r="J168" s="327">
        <f t="shared" si="38"/>
        <v>1848</v>
      </c>
      <c r="K168" s="334">
        <f t="shared" si="49"/>
        <v>-1</v>
      </c>
      <c r="L168" s="322">
        <f t="shared" si="50"/>
        <v>8.2951177362571844</v>
      </c>
      <c r="M168" s="322">
        <f t="shared" si="51"/>
        <v>8.3051177362571842</v>
      </c>
      <c r="N168" s="327">
        <f t="shared" si="52"/>
        <v>-5.5382396379222598E-2</v>
      </c>
      <c r="O168" s="327">
        <f t="shared" si="39"/>
        <v>0.56023417943643894</v>
      </c>
      <c r="P168" s="331">
        <f t="shared" si="41"/>
        <v>219.28216459712249</v>
      </c>
      <c r="Q168" s="327">
        <f t="shared" si="53"/>
        <v>1841.5220663932137</v>
      </c>
      <c r="R168" s="276">
        <f>IF(H168&gt;0, rate1(1,$L$52,$L$51,$L$54,L168,$L$53,$L$50,P168),"")</f>
        <v>2324.6965051693219</v>
      </c>
      <c r="S168" s="322">
        <f t="shared" si="54"/>
        <v>1.4139728262709188</v>
      </c>
      <c r="T168" s="322">
        <f t="shared" si="55"/>
        <v>0.13378268539534127</v>
      </c>
      <c r="U168" s="327">
        <f t="shared" si="40"/>
        <v>8.315117736257184</v>
      </c>
      <c r="V168" s="335">
        <f t="shared" si="56"/>
        <v>8.315117736257184</v>
      </c>
      <c r="W168" s="327">
        <f t="shared" si="57"/>
        <v>2.0364535149859364E-3</v>
      </c>
      <c r="X168" s="327">
        <f t="shared" si="58"/>
        <v>1850.1227165361902</v>
      </c>
      <c r="Y168" s="327">
        <f t="shared" si="42"/>
        <v>219.81054766851037</v>
      </c>
      <c r="Z168" s="107">
        <f>IF(H168&gt;0, rate1(1,$L$52,$L$51,$L$54,U168,$L$53,$L$50,Y168),"")</f>
        <v>2325.3483497011989</v>
      </c>
      <c r="AA168" s="335">
        <f t="shared" si="59"/>
        <v>1.4201784313623431</v>
      </c>
      <c r="AB168" s="335">
        <f t="shared" si="60"/>
        <v>-4.8466398153354752E-3</v>
      </c>
      <c r="AC168" s="327">
        <f t="shared" si="61"/>
        <v>0.13378268539534127</v>
      </c>
      <c r="AD168" s="327">
        <f t="shared" si="62"/>
        <v>-0.14949617688490849</v>
      </c>
      <c r="AE168" s="327">
        <f t="shared" si="63"/>
        <v>-1.433636730170823E-2</v>
      </c>
      <c r="AF168" s="327">
        <f t="shared" si="64"/>
        <v>1493.1024603191272</v>
      </c>
      <c r="AG168" s="327">
        <f t="shared" si="65"/>
        <v>1481.2155668388102</v>
      </c>
      <c r="AH168" s="327">
        <f t="shared" si="66"/>
        <v>8.2958146193821847</v>
      </c>
      <c r="AI168" s="327">
        <f t="shared" si="67"/>
        <v>57.548452065830872</v>
      </c>
      <c r="AJ168" s="327">
        <f t="shared" si="68"/>
        <v>2.0217952359833617</v>
      </c>
      <c r="AK168" s="336">
        <f t="shared" si="69"/>
        <v>16.561715738112554</v>
      </c>
      <c r="AL168" s="42">
        <f t="shared" si="70"/>
        <v>13.344249806532448</v>
      </c>
      <c r="BA168" s="8"/>
    </row>
    <row r="169" spans="1:53" x14ac:dyDescent="0.25">
      <c r="A169" s="115"/>
      <c r="B169" s="327">
        <f t="shared" si="43"/>
        <v>1493.1024603191272</v>
      </c>
      <c r="C169" s="327">
        <f t="shared" si="44"/>
        <v>1481.2155668388102</v>
      </c>
      <c r="D169" s="327">
        <f t="shared" si="45"/>
        <v>8.2958146193821847</v>
      </c>
      <c r="E169" s="327">
        <f t="shared" si="36"/>
        <v>62.298524915701222</v>
      </c>
      <c r="F169" s="327">
        <f t="shared" si="46"/>
        <v>62.220901590041315</v>
      </c>
      <c r="G169" s="327">
        <f t="shared" si="47"/>
        <v>3655.7757635056309</v>
      </c>
      <c r="H169" s="312">
        <f t="shared" si="71"/>
        <v>0.02</v>
      </c>
      <c r="I169" s="327">
        <f t="shared" si="48"/>
        <v>7.1321360881901912</v>
      </c>
      <c r="J169" s="327">
        <f t="shared" si="38"/>
        <v>1848</v>
      </c>
      <c r="K169" s="334">
        <f t="shared" si="49"/>
        <v>-1</v>
      </c>
      <c r="L169" s="322">
        <f t="shared" si="50"/>
        <v>8.2758146193821851</v>
      </c>
      <c r="M169" s="322">
        <f t="shared" si="51"/>
        <v>8.2858146193821849</v>
      </c>
      <c r="N169" s="327">
        <f t="shared" si="52"/>
        <v>-5.525846534974832E-2</v>
      </c>
      <c r="O169" s="327">
        <f t="shared" si="39"/>
        <v>0.55378112243549693</v>
      </c>
      <c r="P169" s="331">
        <f t="shared" si="41"/>
        <v>218.60212739629765</v>
      </c>
      <c r="Q169" s="327">
        <f t="shared" si="53"/>
        <v>1825.0088323105192</v>
      </c>
      <c r="R169" s="276">
        <f>IF(H169&gt;0, rate1(1,$L$52,$L$51,$L$54,L169,$L$53,$L$50,P169),"")</f>
        <v>2323.8534758741648</v>
      </c>
      <c r="S169" s="322">
        <f t="shared" si="54"/>
        <v>1.4181366534846662</v>
      </c>
      <c r="T169" s="322">
        <f t="shared" si="55"/>
        <v>0.13215408142107479</v>
      </c>
      <c r="U169" s="327">
        <f t="shared" si="40"/>
        <v>8.2958146193821847</v>
      </c>
      <c r="V169" s="335">
        <f t="shared" si="56"/>
        <v>8.2958146193821847</v>
      </c>
      <c r="W169" s="327">
        <f t="shared" si="57"/>
        <v>2.0270094461309895E-3</v>
      </c>
      <c r="X169" s="327">
        <f t="shared" si="58"/>
        <v>1833.7304312400033</v>
      </c>
      <c r="Y169" s="327">
        <f t="shared" si="42"/>
        <v>219.1300997223116</v>
      </c>
      <c r="Z169" s="107">
        <f>IF(H169&gt;0, rate1(1,$L$52,$L$51,$L$54,U169,$L$53,$L$50,Y169),"")</f>
        <v>2324.5083944130165</v>
      </c>
      <c r="AA169" s="335">
        <f t="shared" si="59"/>
        <v>1.4245123743405765</v>
      </c>
      <c r="AB169" s="335">
        <f t="shared" si="60"/>
        <v>-4.7749125082152876E-3</v>
      </c>
      <c r="AC169" s="327">
        <f t="shared" si="61"/>
        <v>0.13215408142107479</v>
      </c>
      <c r="AD169" s="327">
        <f t="shared" si="62"/>
        <v>-0.15133849658623236</v>
      </c>
      <c r="AE169" s="327">
        <f t="shared" si="63"/>
        <v>-1.3855321499006387E-2</v>
      </c>
      <c r="AF169" s="327">
        <f t="shared" si="64"/>
        <v>1492.9150477723563</v>
      </c>
      <c r="AG169" s="327">
        <f t="shared" si="65"/>
        <v>1481.0834127573892</v>
      </c>
      <c r="AH169" s="327">
        <f t="shared" si="66"/>
        <v>8.2765098286338787</v>
      </c>
      <c r="AI169" s="327">
        <f t="shared" si="67"/>
        <v>56.868508618583341</v>
      </c>
      <c r="AJ169" s="327">
        <f t="shared" si="68"/>
        <v>2.0375920439329684</v>
      </c>
      <c r="AK169" s="336">
        <f t="shared" si="69"/>
        <v>16.773040235492775</v>
      </c>
      <c r="AL169" s="42">
        <f t="shared" si="70"/>
        <v>13.450599345950103</v>
      </c>
      <c r="BA169" s="8"/>
    </row>
    <row r="170" spans="1:53" x14ac:dyDescent="0.25">
      <c r="A170" s="115"/>
      <c r="B170" s="327">
        <f t="shared" si="43"/>
        <v>1492.9150477723563</v>
      </c>
      <c r="C170" s="327">
        <f t="shared" si="44"/>
        <v>1481.0834127573892</v>
      </c>
      <c r="D170" s="327">
        <f t="shared" si="45"/>
        <v>8.2765098286338787</v>
      </c>
      <c r="E170" s="327">
        <f t="shared" si="36"/>
        <v>62.450112006648524</v>
      </c>
      <c r="F170" s="327">
        <f t="shared" si="46"/>
        <v>62.374318461174873</v>
      </c>
      <c r="G170" s="327">
        <f t="shared" si="47"/>
        <v>3639.2031508762821</v>
      </c>
      <c r="H170" s="312">
        <f t="shared" si="71"/>
        <v>0.02</v>
      </c>
      <c r="I170" s="327">
        <f t="shared" si="48"/>
        <v>7.098981008980263</v>
      </c>
      <c r="J170" s="327">
        <f t="shared" si="38"/>
        <v>1848</v>
      </c>
      <c r="K170" s="334">
        <f t="shared" si="49"/>
        <v>-1</v>
      </c>
      <c r="L170" s="322">
        <f t="shared" si="50"/>
        <v>8.2565098286338792</v>
      </c>
      <c r="M170" s="322">
        <f t="shared" si="51"/>
        <v>8.266509828633879</v>
      </c>
      <c r="N170" s="327">
        <f t="shared" si="52"/>
        <v>-5.5134501621299847E-2</v>
      </c>
      <c r="O170" s="327">
        <f t="shared" si="39"/>
        <v>0.5473913697152768</v>
      </c>
      <c r="P170" s="331">
        <f t="shared" si="41"/>
        <v>217.92256055023529</v>
      </c>
      <c r="Q170" s="327">
        <f t="shared" si="53"/>
        <v>1808.2707865295965</v>
      </c>
      <c r="R170" s="276">
        <f>IF(H170&gt;0, rate1(1,$L$52,$L$51,$L$54,L170,$L$53,$L$50,P170),"")</f>
        <v>2323.0063900059595</v>
      </c>
      <c r="S170" s="322">
        <f t="shared" si="54"/>
        <v>1.4220508155107643</v>
      </c>
      <c r="T170" s="322">
        <f t="shared" si="55"/>
        <v>0.1306347472746292</v>
      </c>
      <c r="U170" s="327">
        <f t="shared" si="40"/>
        <v>8.2765098286338787</v>
      </c>
      <c r="V170" s="335">
        <f t="shared" si="56"/>
        <v>8.2765098286338787</v>
      </c>
      <c r="W170" s="327">
        <f t="shared" si="57"/>
        <v>2.017586510568492E-3</v>
      </c>
      <c r="X170" s="327">
        <f t="shared" si="58"/>
        <v>1817.1022076149511</v>
      </c>
      <c r="Y170" s="327">
        <f t="shared" si="42"/>
        <v>218.45012145700639</v>
      </c>
      <c r="Z170" s="107">
        <f>IF(H170&gt;0, rate1(1,$L$52,$L$51,$L$54,U170,$L$53,$L$50,Y170),"")</f>
        <v>2323.664403222856</v>
      </c>
      <c r="AA170" s="335">
        <f t="shared" si="59"/>
        <v>1.4285913134930266</v>
      </c>
      <c r="AB170" s="335">
        <f t="shared" si="60"/>
        <v>-4.7074834394685398E-3</v>
      </c>
      <c r="AC170" s="327">
        <f t="shared" si="61"/>
        <v>0.1306347472746292</v>
      </c>
      <c r="AD170" s="327">
        <f t="shared" si="62"/>
        <v>-0.15309862358408094</v>
      </c>
      <c r="AE170" s="327">
        <f t="shared" si="63"/>
        <v>-1.3395752068949015E-2</v>
      </c>
      <c r="AF170" s="327">
        <f t="shared" si="64"/>
        <v>1492.7292785234604</v>
      </c>
      <c r="AG170" s="327">
        <f t="shared" si="65"/>
        <v>1480.9527780101146</v>
      </c>
      <c r="AH170" s="327">
        <f t="shared" si="66"/>
        <v>8.2572033637357602</v>
      </c>
      <c r="AI170" s="327">
        <f t="shared" si="67"/>
        <v>56.235207891224988</v>
      </c>
      <c r="AJ170" s="327">
        <f t="shared" si="68"/>
        <v>2.0532129350138644</v>
      </c>
      <c r="AK170" s="336">
        <f t="shared" si="69"/>
        <v>16.980938751007304</v>
      </c>
      <c r="AL170" s="42">
        <f t="shared" si="70"/>
        <v>13.555692349877244</v>
      </c>
      <c r="BA170" s="8"/>
    </row>
    <row r="171" spans="1:53" x14ac:dyDescent="0.25">
      <c r="A171" s="115"/>
      <c r="B171" s="327">
        <f t="shared" si="43"/>
        <v>1492.7292785234604</v>
      </c>
      <c r="C171" s="327">
        <f t="shared" si="44"/>
        <v>1480.9527780101146</v>
      </c>
      <c r="D171" s="327">
        <f t="shared" si="45"/>
        <v>8.2572033637357602</v>
      </c>
      <c r="E171" s="327">
        <f t="shared" si="36"/>
        <v>62.598296764249604</v>
      </c>
      <c r="F171" s="327">
        <f t="shared" si="46"/>
        <v>62.524204385449067</v>
      </c>
      <c r="G171" s="327">
        <f t="shared" si="47"/>
        <v>3622.4175572242525</v>
      </c>
      <c r="H171" s="312">
        <f t="shared" si="71"/>
        <v>0.02</v>
      </c>
      <c r="I171" s="327">
        <f t="shared" si="48"/>
        <v>7.0659003080074854</v>
      </c>
      <c r="J171" s="327">
        <f t="shared" si="38"/>
        <v>1848</v>
      </c>
      <c r="K171" s="334">
        <f t="shared" si="49"/>
        <v>-1</v>
      </c>
      <c r="L171" s="322">
        <f t="shared" si="50"/>
        <v>8.2372033637357607</v>
      </c>
      <c r="M171" s="322">
        <f t="shared" si="51"/>
        <v>8.2472033637357605</v>
      </c>
      <c r="N171" s="327">
        <f t="shared" si="52"/>
        <v>-5.5010505186427139E-2</v>
      </c>
      <c r="O171" s="327">
        <f t="shared" si="39"/>
        <v>0.54106081536930861</v>
      </c>
      <c r="P171" s="331">
        <f t="shared" si="41"/>
        <v>217.24346501049746</v>
      </c>
      <c r="Q171" s="327">
        <f t="shared" si="53"/>
        <v>1791.328005106639</v>
      </c>
      <c r="R171" s="276">
        <f>IF(H171&gt;0, rate1(1,$L$52,$L$51,$L$54,L171,$L$53,$L$50,P171),"")</f>
        <v>2322.1552200234319</v>
      </c>
      <c r="S171" s="322">
        <f t="shared" si="54"/>
        <v>1.4257316378744793</v>
      </c>
      <c r="T171" s="322">
        <f t="shared" si="55"/>
        <v>0.12921404070666268</v>
      </c>
      <c r="U171" s="327">
        <f t="shared" si="40"/>
        <v>8.2572033637357602</v>
      </c>
      <c r="V171" s="335">
        <f t="shared" si="56"/>
        <v>8.2572033637357602</v>
      </c>
      <c r="W171" s="327">
        <f t="shared" si="57"/>
        <v>2.0081847139010733E-3</v>
      </c>
      <c r="X171" s="327">
        <f t="shared" si="58"/>
        <v>1800.2592142567037</v>
      </c>
      <c r="Y171" s="327">
        <f t="shared" si="42"/>
        <v>217.77061382149773</v>
      </c>
      <c r="Z171" s="107">
        <f>IF(H171&gt;0, rate1(1,$L$52,$L$51,$L$54,U171,$L$53,$L$50,Y171),"")</f>
        <v>2322.8163487684169</v>
      </c>
      <c r="AA171" s="335">
        <f t="shared" si="59"/>
        <v>1.4324322350982428</v>
      </c>
      <c r="AB171" s="335">
        <f t="shared" si="60"/>
        <v>-4.6439292700851519E-3</v>
      </c>
      <c r="AC171" s="327">
        <f t="shared" si="61"/>
        <v>0.12921404070666268</v>
      </c>
      <c r="AD171" s="327">
        <f t="shared" si="62"/>
        <v>-0.15478194080628838</v>
      </c>
      <c r="AE171" s="327">
        <f t="shared" si="63"/>
        <v>-1.2956129103273933E-2</v>
      </c>
      <c r="AF171" s="327">
        <f t="shared" si="64"/>
        <v>1492.5450539775672</v>
      </c>
      <c r="AG171" s="327">
        <f t="shared" si="65"/>
        <v>1480.8235639694078</v>
      </c>
      <c r="AH171" s="327">
        <f t="shared" si="66"/>
        <v>8.2378952244101864</v>
      </c>
      <c r="AI171" s="327">
        <f t="shared" si="67"/>
        <v>55.644015349395481</v>
      </c>
      <c r="AJ171" s="327">
        <f t="shared" si="68"/>
        <v>2.068669605944252</v>
      </c>
      <c r="AK171" s="336">
        <f t="shared" si="69"/>
        <v>17.185590096755234</v>
      </c>
      <c r="AL171" s="42">
        <f t="shared" si="70"/>
        <v>13.659615014060227</v>
      </c>
      <c r="BA171" s="8"/>
    </row>
    <row r="172" spans="1:53" x14ac:dyDescent="0.25">
      <c r="A172" s="115"/>
      <c r="B172" s="327">
        <f t="shared" si="43"/>
        <v>1492.5450539775672</v>
      </c>
      <c r="C172" s="327">
        <f t="shared" si="44"/>
        <v>1480.8235639694078</v>
      </c>
      <c r="D172" s="327">
        <f t="shared" si="45"/>
        <v>8.2378952244101864</v>
      </c>
      <c r="E172" s="327">
        <f t="shared" si="36"/>
        <v>62.743311563078791</v>
      </c>
      <c r="F172" s="327">
        <f t="shared" si="46"/>
        <v>62.670804163664201</v>
      </c>
      <c r="G172" s="327">
        <f t="shared" si="47"/>
        <v>3605.4379862431397</v>
      </c>
      <c r="H172" s="312">
        <f t="shared" si="71"/>
        <v>0.02</v>
      </c>
      <c r="I172" s="327">
        <f t="shared" si="48"/>
        <v>7.0328940048956605</v>
      </c>
      <c r="J172" s="327">
        <f t="shared" si="38"/>
        <v>1848</v>
      </c>
      <c r="K172" s="334">
        <f t="shared" si="49"/>
        <v>-1</v>
      </c>
      <c r="L172" s="322">
        <f t="shared" si="50"/>
        <v>8.2178952244101868</v>
      </c>
      <c r="M172" s="322">
        <f t="shared" si="51"/>
        <v>8.2278952244101866</v>
      </c>
      <c r="N172" s="327">
        <f t="shared" si="52"/>
        <v>-5.4886476037623311E-2</v>
      </c>
      <c r="O172" s="327">
        <f t="shared" si="39"/>
        <v>0.53478576950814449</v>
      </c>
      <c r="P172" s="331">
        <f t="shared" si="41"/>
        <v>216.56484173229052</v>
      </c>
      <c r="Q172" s="327">
        <f t="shared" si="53"/>
        <v>1774.198666391153</v>
      </c>
      <c r="R172" s="276">
        <f>IF(H172&gt;0, rate1(1,$L$52,$L$51,$L$54,L172,$L$53,$L$50,P172),"")</f>
        <v>2321.2999381452937</v>
      </c>
      <c r="S172" s="322">
        <f t="shared" si="54"/>
        <v>1.4291938751056625</v>
      </c>
      <c r="T172" s="322">
        <f t="shared" si="55"/>
        <v>0.1278827104047347</v>
      </c>
      <c r="U172" s="327">
        <f t="shared" si="40"/>
        <v>8.2378952244101864</v>
      </c>
      <c r="V172" s="335">
        <f t="shared" si="56"/>
        <v>8.2378952244101864</v>
      </c>
      <c r="W172" s="327">
        <f t="shared" si="57"/>
        <v>1.9988040616816249E-3</v>
      </c>
      <c r="X172" s="327">
        <f t="shared" si="58"/>
        <v>1783.2205778169123</v>
      </c>
      <c r="Y172" s="327">
        <f t="shared" si="42"/>
        <v>217.09157776831611</v>
      </c>
      <c r="Z172" s="107">
        <f>IF(H172&gt;0, rate1(1,$L$52,$L$51,$L$54,U172,$L$53,$L$50,Y172),"")</f>
        <v>2321.9642034492686</v>
      </c>
      <c r="AA172" s="335">
        <f t="shared" si="59"/>
        <v>1.4360504740315048</v>
      </c>
      <c r="AB172" s="335">
        <f t="shared" si="60"/>
        <v>-4.5838823272032741E-3</v>
      </c>
      <c r="AC172" s="327">
        <f t="shared" si="61"/>
        <v>0.1278827104047347</v>
      </c>
      <c r="AD172" s="327">
        <f t="shared" si="62"/>
        <v>-0.1563933070913355</v>
      </c>
      <c r="AE172" s="327">
        <f t="shared" si="63"/>
        <v>-1.2535096441953397E-2</v>
      </c>
      <c r="AF172" s="327">
        <f t="shared" si="64"/>
        <v>1492.3622847911249</v>
      </c>
      <c r="AG172" s="327">
        <f t="shared" si="65"/>
        <v>1480.6956812590031</v>
      </c>
      <c r="AH172" s="327">
        <f t="shared" si="66"/>
        <v>8.2185854103785267</v>
      </c>
      <c r="AI172" s="327">
        <f t="shared" si="67"/>
        <v>55.090989450898924</v>
      </c>
      <c r="AJ172" s="327">
        <f t="shared" si="68"/>
        <v>2.0839726585695018</v>
      </c>
      <c r="AK172" s="336">
        <f t="shared" si="69"/>
        <v>17.387155954911339</v>
      </c>
      <c r="AL172" s="42">
        <f t="shared" si="70"/>
        <v>13.76244515442591</v>
      </c>
      <c r="BA172" s="8"/>
    </row>
    <row r="173" spans="1:53" x14ac:dyDescent="0.25">
      <c r="A173" s="115"/>
      <c r="B173" s="327">
        <f t="shared" si="43"/>
        <v>1492.3622847911249</v>
      </c>
      <c r="C173" s="327">
        <f t="shared" si="44"/>
        <v>1480.6956812590031</v>
      </c>
      <c r="D173" s="327">
        <f t="shared" si="45"/>
        <v>8.2185854103785267</v>
      </c>
      <c r="E173" s="327">
        <f t="shared" si="36"/>
        <v>62.88536716286589</v>
      </c>
      <c r="F173" s="327">
        <f t="shared" si="46"/>
        <v>62.814339362972341</v>
      </c>
      <c r="G173" s="327">
        <f t="shared" si="47"/>
        <v>3588.2816760165165</v>
      </c>
      <c r="H173" s="312">
        <f t="shared" si="71"/>
        <v>0.02</v>
      </c>
      <c r="I173" s="327">
        <f t="shared" si="48"/>
        <v>6.9999621192730954</v>
      </c>
      <c r="J173" s="327">
        <f t="shared" si="38"/>
        <v>1848</v>
      </c>
      <c r="K173" s="334">
        <f t="shared" si="49"/>
        <v>-1</v>
      </c>
      <c r="L173" s="322">
        <f t="shared" si="50"/>
        <v>8.1985854103785272</v>
      </c>
      <c r="M173" s="322">
        <f t="shared" si="51"/>
        <v>8.208585410378527</v>
      </c>
      <c r="N173" s="327">
        <f t="shared" si="52"/>
        <v>-5.4762414167385032E-2</v>
      </c>
      <c r="O173" s="327">
        <f t="shared" si="39"/>
        <v>0.52856290172404008</v>
      </c>
      <c r="P173" s="331">
        <f t="shared" si="41"/>
        <v>215.88669167449365</v>
      </c>
      <c r="Q173" s="327">
        <f t="shared" si="53"/>
        <v>1756.8992919710836</v>
      </c>
      <c r="R173" s="276">
        <f>IF(H173&gt;0, rate1(1,$L$52,$L$51,$L$54,L173,$L$53,$L$50,P173),"")</f>
        <v>2320.4405163477068</v>
      </c>
      <c r="S173" s="322">
        <f t="shared" si="54"/>
        <v>1.4324509173771676</v>
      </c>
      <c r="T173" s="322">
        <f t="shared" si="55"/>
        <v>0.1266326696669331</v>
      </c>
      <c r="U173" s="327">
        <f t="shared" si="40"/>
        <v>8.2185854103785267</v>
      </c>
      <c r="V173" s="335">
        <f t="shared" si="56"/>
        <v>8.2185854103785267</v>
      </c>
      <c r="W173" s="327">
        <f t="shared" si="57"/>
        <v>1.9894445595021182E-3</v>
      </c>
      <c r="X173" s="327">
        <f t="shared" si="58"/>
        <v>1766.0036478710508</v>
      </c>
      <c r="Y173" s="327">
        <f t="shared" si="42"/>
        <v>216.41301425364779</v>
      </c>
      <c r="Z173" s="107">
        <f>IF(H173&gt;0, rate1(1,$L$52,$L$51,$L$54,U173,$L$53,$L$50,Y173),"")</f>
        <v>2321.1079394243402</v>
      </c>
      <c r="AA173" s="335">
        <f t="shared" si="59"/>
        <v>1.4394599340198504</v>
      </c>
      <c r="AB173" s="335">
        <f t="shared" si="60"/>
        <v>-4.5270214768026043E-3</v>
      </c>
      <c r="AC173" s="327">
        <f t="shared" si="61"/>
        <v>0.1266326696669331</v>
      </c>
      <c r="AD173" s="327">
        <f t="shared" si="62"/>
        <v>-0.15793712675096899</v>
      </c>
      <c r="AE173" s="327">
        <f t="shared" si="63"/>
        <v>-1.2131444938209798E-2</v>
      </c>
      <c r="AF173" s="327">
        <f t="shared" si="64"/>
        <v>1492.1808897072906</v>
      </c>
      <c r="AG173" s="327">
        <f t="shared" si="65"/>
        <v>1480.5690485893363</v>
      </c>
      <c r="AH173" s="327">
        <f t="shared" si="66"/>
        <v>8.1992739213611507</v>
      </c>
      <c r="AI173" s="327">
        <f t="shared" si="67"/>
        <v>54.572685132325027</v>
      </c>
      <c r="AJ173" s="327">
        <f t="shared" si="68"/>
        <v>2.0991317377729253</v>
      </c>
      <c r="AK173" s="336">
        <f t="shared" si="69"/>
        <v>17.585783100977331</v>
      </c>
      <c r="AL173" s="42">
        <f t="shared" si="70"/>
        <v>13.864253302931171</v>
      </c>
      <c r="BA173" s="8"/>
    </row>
    <row r="174" spans="1:53" x14ac:dyDescent="0.25">
      <c r="A174" s="115"/>
      <c r="B174" s="327">
        <f t="shared" si="43"/>
        <v>1492.1808897072906</v>
      </c>
      <c r="C174" s="327">
        <f t="shared" si="44"/>
        <v>1480.5690485893363</v>
      </c>
      <c r="D174" s="327">
        <f t="shared" si="45"/>
        <v>8.1992739213611507</v>
      </c>
      <c r="E174" s="327">
        <f t="shared" si="36"/>
        <v>63.024655420497275</v>
      </c>
      <c r="F174" s="327">
        <f t="shared" si="46"/>
        <v>62.955011291681586</v>
      </c>
      <c r="G174" s="327">
        <f t="shared" si="47"/>
        <v>3570.9643192478238</v>
      </c>
      <c r="H174" s="312">
        <f t="shared" si="71"/>
        <v>0.02</v>
      </c>
      <c r="I174" s="327">
        <f t="shared" si="48"/>
        <v>6.9671046707725965</v>
      </c>
      <c r="J174" s="327">
        <f t="shared" si="38"/>
        <v>1848</v>
      </c>
      <c r="K174" s="334">
        <f t="shared" si="49"/>
        <v>-1</v>
      </c>
      <c r="L174" s="322">
        <f t="shared" si="50"/>
        <v>8.1792739213611512</v>
      </c>
      <c r="M174" s="322">
        <f t="shared" si="51"/>
        <v>8.189273921361151</v>
      </c>
      <c r="N174" s="327">
        <f t="shared" si="52"/>
        <v>-5.4638319568180549E-2</v>
      </c>
      <c r="O174" s="327">
        <f t="shared" si="39"/>
        <v>0.52238919410693074</v>
      </c>
      <c r="P174" s="331">
        <f t="shared" si="41"/>
        <v>215.20901579968205</v>
      </c>
      <c r="Q174" s="327">
        <f t="shared" si="53"/>
        <v>1739.4449491417349</v>
      </c>
      <c r="R174" s="276">
        <f>IF(H174&gt;0, rate1(1,$L$52,$L$51,$L$54,L174,$L$53,$L$50,P174),"")</f>
        <v>2319.576926361713</v>
      </c>
      <c r="S174" s="322">
        <f t="shared" si="54"/>
        <v>1.4355149631810193</v>
      </c>
      <c r="T174" s="322">
        <f t="shared" si="55"/>
        <v>0.1254568136283998</v>
      </c>
      <c r="U174" s="327">
        <f t="shared" si="40"/>
        <v>8.1992739213611507</v>
      </c>
      <c r="V174" s="335">
        <f t="shared" si="56"/>
        <v>8.1992739213611507</v>
      </c>
      <c r="W174" s="327">
        <f t="shared" si="57"/>
        <v>1.9801062129509717E-3</v>
      </c>
      <c r="X174" s="327">
        <f t="shared" si="58"/>
        <v>1748.624218591704</v>
      </c>
      <c r="Y174" s="327">
        <f t="shared" si="42"/>
        <v>215.73492423735783</v>
      </c>
      <c r="Z174" s="107">
        <f>IF(H174&gt;0, rate1(1,$L$52,$L$51,$L$54,U174,$L$53,$L$50,Y174),"")</f>
        <v>2320.2475286093731</v>
      </c>
      <c r="AA174" s="335">
        <f t="shared" si="59"/>
        <v>1.4426732712717312</v>
      </c>
      <c r="AB174" s="335">
        <f t="shared" si="60"/>
        <v>-4.4730647668480995E-3</v>
      </c>
      <c r="AC174" s="327">
        <f t="shared" si="61"/>
        <v>0.1254568136283998</v>
      </c>
      <c r="AD174" s="327">
        <f t="shared" si="62"/>
        <v>-0.15941740764467</v>
      </c>
      <c r="AE174" s="327">
        <f t="shared" si="63"/>
        <v>-1.1744090823231959E-2</v>
      </c>
      <c r="AF174" s="327">
        <f t="shared" si="64"/>
        <v>1492.000794574094</v>
      </c>
      <c r="AG174" s="327">
        <f t="shared" si="65"/>
        <v>1480.4435917757078</v>
      </c>
      <c r="AH174" s="327">
        <f t="shared" si="66"/>
        <v>8.1799607570775681</v>
      </c>
      <c r="AI174" s="327">
        <f t="shared" si="67"/>
        <v>54.086075871249712</v>
      </c>
      <c r="AJ174" s="327">
        <f t="shared" si="68"/>
        <v>2.1141556477371615</v>
      </c>
      <c r="AK174" s="336">
        <f t="shared" si="69"/>
        <v>17.781605267048672</v>
      </c>
      <c r="AL174" s="42">
        <f t="shared" si="70"/>
        <v>13.965103625055708</v>
      </c>
      <c r="BA174" s="8"/>
    </row>
    <row r="175" spans="1:53" x14ac:dyDescent="0.25">
      <c r="A175" s="115"/>
      <c r="B175" s="327">
        <f t="shared" si="43"/>
        <v>1492.000794574094</v>
      </c>
      <c r="C175" s="327">
        <f t="shared" si="44"/>
        <v>1480.4435917757078</v>
      </c>
      <c r="D175" s="327">
        <f t="shared" si="45"/>
        <v>8.1799607570775681</v>
      </c>
      <c r="E175" s="327">
        <f t="shared" si="36"/>
        <v>63.161351577387265</v>
      </c>
      <c r="F175" s="327">
        <f t="shared" si="46"/>
        <v>63.093003498942267</v>
      </c>
      <c r="G175" s="327">
        <f t="shared" si="47"/>
        <v>3553.5002489076519</v>
      </c>
      <c r="H175" s="312">
        <f t="shared" si="71"/>
        <v>0.02</v>
      </c>
      <c r="I175" s="327">
        <f t="shared" si="48"/>
        <v>6.9343216790317452</v>
      </c>
      <c r="J175" s="327">
        <f t="shared" si="38"/>
        <v>1848</v>
      </c>
      <c r="K175" s="334">
        <f t="shared" si="49"/>
        <v>-1</v>
      </c>
      <c r="L175" s="322">
        <f t="shared" si="50"/>
        <v>8.1599607570775685</v>
      </c>
      <c r="M175" s="322">
        <f t="shared" si="51"/>
        <v>8.1699607570775683</v>
      </c>
      <c r="N175" s="327">
        <f t="shared" si="52"/>
        <v>-5.4514192232506531E-2</v>
      </c>
      <c r="O175" s="327">
        <f t="shared" si="39"/>
        <v>0.51626190190536714</v>
      </c>
      <c r="P175" s="331">
        <f t="shared" si="41"/>
        <v>214.53181507415536</v>
      </c>
      <c r="Q175" s="327">
        <f t="shared" si="53"/>
        <v>1721.8494222144732</v>
      </c>
      <c r="R175" s="276">
        <f>IF(H175&gt;0, rate1(1,$L$52,$L$51,$L$54,L175,$L$53,$L$50,P175),"")</f>
        <v>2318.7091396706355</v>
      </c>
      <c r="S175" s="322">
        <f t="shared" si="54"/>
        <v>1.438397164661446</v>
      </c>
      <c r="T175" s="322">
        <f t="shared" si="55"/>
        <v>0.12434887044628891</v>
      </c>
      <c r="U175" s="327">
        <f t="shared" si="40"/>
        <v>8.1799607570775681</v>
      </c>
      <c r="V175" s="335">
        <f t="shared" si="56"/>
        <v>8.1799607570775681</v>
      </c>
      <c r="W175" s="327">
        <f t="shared" si="57"/>
        <v>1.9707890275881823E-3</v>
      </c>
      <c r="X175" s="327">
        <f t="shared" si="58"/>
        <v>1731.096715611257</v>
      </c>
      <c r="Y175" s="327">
        <f t="shared" si="42"/>
        <v>215.05730868301833</v>
      </c>
      <c r="Z175" s="107">
        <f>IF(H175&gt;0, rate1(1,$L$52,$L$51,$L$54,U175,$L$53,$L$50,Y175),"")</f>
        <v>2319.3829426743432</v>
      </c>
      <c r="AA175" s="335">
        <f t="shared" si="59"/>
        <v>1.4457020487039636</v>
      </c>
      <c r="AB175" s="335">
        <f t="shared" si="60"/>
        <v>-4.4217634478435734E-3</v>
      </c>
      <c r="AC175" s="327">
        <f t="shared" si="61"/>
        <v>0.12434887044628891</v>
      </c>
      <c r="AD175" s="327">
        <f t="shared" si="62"/>
        <v>-0.1608378100116219</v>
      </c>
      <c r="AE175" s="327">
        <f t="shared" si="63"/>
        <v>-1.1372058023525344E-2</v>
      </c>
      <c r="AF175" s="327">
        <f t="shared" si="64"/>
        <v>1491.8219315114152</v>
      </c>
      <c r="AG175" s="327">
        <f t="shared" si="65"/>
        <v>1480.3192429052615</v>
      </c>
      <c r="AH175" s="327">
        <f t="shared" si="66"/>
        <v>8.1606459172460273</v>
      </c>
      <c r="AI175" s="327">
        <f t="shared" si="67"/>
        <v>53.628490231401869</v>
      </c>
      <c r="AJ175" s="327">
        <f t="shared" si="68"/>
        <v>2.1290524505792177</v>
      </c>
      <c r="AK175" s="336">
        <f t="shared" si="69"/>
        <v>17.974744714153037</v>
      </c>
      <c r="AL175" s="42">
        <f t="shared" si="70"/>
        <v>14.065054693265777</v>
      </c>
      <c r="BA175" s="8"/>
    </row>
    <row r="176" spans="1:53" x14ac:dyDescent="0.25">
      <c r="A176" s="115"/>
      <c r="B176" s="327">
        <f t="shared" si="43"/>
        <v>1491.8219315114152</v>
      </c>
      <c r="C176" s="327">
        <f t="shared" si="44"/>
        <v>1480.3192429052615</v>
      </c>
      <c r="D176" s="327">
        <f t="shared" si="45"/>
        <v>8.1606459172460273</v>
      </c>
      <c r="E176" s="327">
        <f t="shared" si="36"/>
        <v>63.295616200978174</v>
      </c>
      <c r="F176" s="327">
        <f t="shared" si="46"/>
        <v>63.228483889182719</v>
      </c>
      <c r="G176" s="327">
        <f t="shared" si="47"/>
        <v>3535.9025957695067</v>
      </c>
      <c r="H176" s="312">
        <f t="shared" si="71"/>
        <v>0.02</v>
      </c>
      <c r="I176" s="327">
        <f t="shared" si="48"/>
        <v>6.9016131636922182</v>
      </c>
      <c r="J176" s="327">
        <f t="shared" si="38"/>
        <v>1848</v>
      </c>
      <c r="K176" s="334">
        <f t="shared" si="49"/>
        <v>-1</v>
      </c>
      <c r="L176" s="322">
        <f t="shared" si="50"/>
        <v>8.1406459172460277</v>
      </c>
      <c r="M176" s="322">
        <f t="shared" si="51"/>
        <v>8.1506459172460275</v>
      </c>
      <c r="N176" s="327">
        <f t="shared" si="52"/>
        <v>-5.4390032152852541E-2</v>
      </c>
      <c r="O176" s="327">
        <f t="shared" si="39"/>
        <v>0.51017852036134059</v>
      </c>
      <c r="P176" s="331">
        <f t="shared" si="41"/>
        <v>213.85509046794755</v>
      </c>
      <c r="Q176" s="327">
        <f t="shared" si="53"/>
        <v>1704.1253583818407</v>
      </c>
      <c r="R176" s="276">
        <f>IF(H176&gt;0, rate1(1,$L$52,$L$51,$L$54,L176,$L$53,$L$50,P176),"")</f>
        <v>2317.8371275074251</v>
      </c>
      <c r="S176" s="322">
        <f t="shared" si="54"/>
        <v>1.4411077507438133</v>
      </c>
      <c r="T176" s="322">
        <f t="shared" si="55"/>
        <v>0.12330327921270468</v>
      </c>
      <c r="U176" s="327">
        <f t="shared" si="40"/>
        <v>8.1606459172460273</v>
      </c>
      <c r="V176" s="335">
        <f t="shared" si="56"/>
        <v>8.1606459172460273</v>
      </c>
      <c r="W176" s="327">
        <f t="shared" si="57"/>
        <v>1.9614930090092741E-3</v>
      </c>
      <c r="X176" s="327">
        <f t="shared" si="58"/>
        <v>1713.4343545878419</v>
      </c>
      <c r="Y176" s="327">
        <f t="shared" si="42"/>
        <v>214.38016855791818</v>
      </c>
      <c r="Z176" s="107">
        <f>IF(H176&gt;0, rate1(1,$L$52,$L$51,$L$54,U176,$L$53,$L$50,Y176),"")</f>
        <v>2318.5141530408355</v>
      </c>
      <c r="AA176" s="335">
        <f t="shared" si="59"/>
        <v>1.448556866355692</v>
      </c>
      <c r="AB176" s="335">
        <f t="shared" si="60"/>
        <v>-4.3728970753373099E-3</v>
      </c>
      <c r="AC176" s="327">
        <f t="shared" si="61"/>
        <v>0.12330327921270468</v>
      </c>
      <c r="AD176" s="327">
        <f t="shared" si="62"/>
        <v>-0.16220168780344393</v>
      </c>
      <c r="AE176" s="327">
        <f t="shared" si="63"/>
        <v>-1.1014463582892693E-2</v>
      </c>
      <c r="AF176" s="327">
        <f t="shared" si="64"/>
        <v>1491.6442382000496</v>
      </c>
      <c r="AG176" s="327">
        <f t="shared" si="65"/>
        <v>1480.1959396260488</v>
      </c>
      <c r="AH176" s="327">
        <f t="shared" si="66"/>
        <v>8.1413294015838975</v>
      </c>
      <c r="AI176" s="327">
        <f t="shared" si="67"/>
        <v>53.197559806673553</v>
      </c>
      <c r="AJ176" s="327">
        <f t="shared" si="68"/>
        <v>2.143829550525516</v>
      </c>
      <c r="AK176" s="336">
        <f t="shared" si="69"/>
        <v>18.165313567538863</v>
      </c>
      <c r="AL176" s="42">
        <f t="shared" si="70"/>
        <v>14.164160143213408</v>
      </c>
      <c r="BA176" s="8"/>
    </row>
    <row r="177" spans="1:53" x14ac:dyDescent="0.25">
      <c r="A177" s="115"/>
      <c r="B177" s="327">
        <f t="shared" si="43"/>
        <v>1491.6442382000496</v>
      </c>
      <c r="C177" s="327">
        <f t="shared" si="44"/>
        <v>1480.1959396260488</v>
      </c>
      <c r="D177" s="327">
        <f t="shared" si="45"/>
        <v>8.1413294015838975</v>
      </c>
      <c r="E177" s="327">
        <f t="shared" si="36"/>
        <v>63.42759684239681</v>
      </c>
      <c r="F177" s="327">
        <f t="shared" si="46"/>
        <v>63.361606521687492</v>
      </c>
      <c r="G177" s="327">
        <f t="shared" si="47"/>
        <v>3518.1834229156302</v>
      </c>
      <c r="H177" s="312">
        <f t="shared" si="71"/>
        <v>0.02</v>
      </c>
      <c r="I177" s="327">
        <f t="shared" si="48"/>
        <v>6.8689791444004635</v>
      </c>
      <c r="J177" s="327">
        <f t="shared" si="38"/>
        <v>1848</v>
      </c>
      <c r="K177" s="334">
        <f t="shared" si="49"/>
        <v>-1</v>
      </c>
      <c r="L177" s="322">
        <f t="shared" si="50"/>
        <v>8.1213294015838979</v>
      </c>
      <c r="M177" s="322">
        <f t="shared" si="51"/>
        <v>8.1313294015838977</v>
      </c>
      <c r="N177" s="327">
        <f t="shared" si="52"/>
        <v>-5.4265839321640641E-2</v>
      </c>
      <c r="O177" s="327">
        <f t="shared" si="39"/>
        <v>0.50413675657186163</v>
      </c>
      <c r="P177" s="331">
        <f t="shared" si="41"/>
        <v>213.17884295486434</v>
      </c>
      <c r="Q177" s="327">
        <f t="shared" si="53"/>
        <v>1686.2843926526693</v>
      </c>
      <c r="R177" s="276">
        <f>IF(H177&gt;0, rate1(1,$L$52,$L$51,$L$54,L177,$L$53,$L$50,P177),"")</f>
        <v>2316.960860852008</v>
      </c>
      <c r="S177" s="322">
        <f t="shared" si="54"/>
        <v>1.4436561320931725</v>
      </c>
      <c r="T177" s="322">
        <f t="shared" si="55"/>
        <v>0.1223150890885111</v>
      </c>
      <c r="U177" s="327">
        <f t="shared" si="40"/>
        <v>8.1413294015838975</v>
      </c>
      <c r="V177" s="335">
        <f t="shared" si="56"/>
        <v>8.1413294015838975</v>
      </c>
      <c r="W177" s="327">
        <f t="shared" si="57"/>
        <v>1.9522181628062185E-3</v>
      </c>
      <c r="X177" s="327">
        <f t="shared" si="58"/>
        <v>1695.6492765896755</v>
      </c>
      <c r="Y177" s="327">
        <f t="shared" si="42"/>
        <v>213.70350483310048</v>
      </c>
      <c r="Z177" s="107">
        <f>IF(H177&gt;0, rate1(1,$L$52,$L$51,$L$54,U177,$L$53,$L$50,Y177),"")</f>
        <v>2317.641130879414</v>
      </c>
      <c r="AA177" s="335">
        <f t="shared" si="59"/>
        <v>1.4512474723631907</v>
      </c>
      <c r="AB177" s="335">
        <f t="shared" si="60"/>
        <v>-4.3262694693499745E-3</v>
      </c>
      <c r="AC177" s="327">
        <f t="shared" si="61"/>
        <v>0.1223150890885111</v>
      </c>
      <c r="AD177" s="327">
        <f t="shared" si="62"/>
        <v>-0.16351212388462852</v>
      </c>
      <c r="AE177" s="327">
        <f t="shared" si="63"/>
        <v>-1.067050555093276E-2</v>
      </c>
      <c r="AF177" s="327">
        <f t="shared" si="64"/>
        <v>1491.4676572716394</v>
      </c>
      <c r="AG177" s="327">
        <f t="shared" si="65"/>
        <v>1480.0736245369603</v>
      </c>
      <c r="AH177" s="327">
        <f t="shared" si="66"/>
        <v>8.1220112098074928</v>
      </c>
      <c r="AI177" s="327">
        <f t="shared" si="67"/>
        <v>52.791176215006331</v>
      </c>
      <c r="AJ177" s="327">
        <f t="shared" si="68"/>
        <v>2.1584937661407957</v>
      </c>
      <c r="AK177" s="336">
        <f t="shared" si="69"/>
        <v>18.353414957347884</v>
      </c>
      <c r="AL177" s="42">
        <f t="shared" si="70"/>
        <v>14.262469233736141</v>
      </c>
      <c r="BA177" s="8"/>
    </row>
    <row r="178" spans="1:53" x14ac:dyDescent="0.25">
      <c r="A178" s="115"/>
      <c r="B178" s="327">
        <f t="shared" si="43"/>
        <v>1491.4676572716394</v>
      </c>
      <c r="C178" s="327">
        <f t="shared" si="44"/>
        <v>1480.0736245369603</v>
      </c>
      <c r="D178" s="327">
        <f t="shared" si="45"/>
        <v>8.1220112098074928</v>
      </c>
      <c r="E178" s="327">
        <f t="shared" si="36"/>
        <v>63.557429459506736</v>
      </c>
      <c r="F178" s="327">
        <f t="shared" si="46"/>
        <v>63.492513150951773</v>
      </c>
      <c r="G178" s="327">
        <f t="shared" si="47"/>
        <v>3500.3538412338776</v>
      </c>
      <c r="H178" s="312">
        <f t="shared" si="71"/>
        <v>0.02</v>
      </c>
      <c r="I178" s="327">
        <f t="shared" si="48"/>
        <v>6.8364196408074349</v>
      </c>
      <c r="J178" s="327">
        <f t="shared" si="38"/>
        <v>1848</v>
      </c>
      <c r="K178" s="334">
        <f t="shared" si="49"/>
        <v>-1</v>
      </c>
      <c r="L178" s="322">
        <f t="shared" si="50"/>
        <v>8.1020112098074932</v>
      </c>
      <c r="M178" s="322">
        <f t="shared" si="51"/>
        <v>8.112011209807493</v>
      </c>
      <c r="N178" s="327">
        <f t="shared" si="52"/>
        <v>-5.4141613731356841E-2</v>
      </c>
      <c r="O178" s="327">
        <f t="shared" si="39"/>
        <v>0.49813450547450089</v>
      </c>
      <c r="P178" s="331">
        <f t="shared" si="41"/>
        <v>212.50307351250132</v>
      </c>
      <c r="Q178" s="327">
        <f t="shared" si="53"/>
        <v>1668.337255444595</v>
      </c>
      <c r="R178" s="276">
        <f>IF(H178&gt;0, rate1(1,$L$52,$L$51,$L$54,L178,$L$53,$L$50,P178),"")</f>
        <v>2316.0803104285756</v>
      </c>
      <c r="S178" s="322">
        <f t="shared" si="54"/>
        <v>1.4460509910907697</v>
      </c>
      <c r="T178" s="322">
        <f t="shared" si="55"/>
        <v>0.12137987542401676</v>
      </c>
      <c r="U178" s="327">
        <f t="shared" si="40"/>
        <v>8.1220112098074928</v>
      </c>
      <c r="V178" s="335">
        <f t="shared" si="56"/>
        <v>8.1220112098074928</v>
      </c>
      <c r="W178" s="327">
        <f t="shared" si="57"/>
        <v>1.9429644945461177E-3</v>
      </c>
      <c r="X178" s="327">
        <f t="shared" si="58"/>
        <v>1677.7526643455753</v>
      </c>
      <c r="Y178" s="327">
        <f t="shared" si="42"/>
        <v>213.02731848338027</v>
      </c>
      <c r="Z178" s="107">
        <f>IF(H178&gt;0, rate1(1,$L$52,$L$51,$L$54,U178,$L$53,$L$50,Y178),"")</f>
        <v>2316.7638471069399</v>
      </c>
      <c r="AA178" s="335">
        <f t="shared" si="59"/>
        <v>1.453782857944651</v>
      </c>
      <c r="AB178" s="335">
        <f t="shared" si="60"/>
        <v>-4.2817053586962639E-3</v>
      </c>
      <c r="AC178" s="327">
        <f t="shared" si="61"/>
        <v>0.12137987542401676</v>
      </c>
      <c r="AD178" s="327">
        <f t="shared" si="62"/>
        <v>-0.16477196017983975</v>
      </c>
      <c r="AE178" s="327">
        <f t="shared" si="63"/>
        <v>-1.0339452829740067E-2</v>
      </c>
      <c r="AF178" s="327">
        <f t="shared" si="64"/>
        <v>1491.2921357824839</v>
      </c>
      <c r="AG178" s="327">
        <f t="shared" si="65"/>
        <v>1479.9522446615363</v>
      </c>
      <c r="AH178" s="327">
        <f t="shared" si="66"/>
        <v>8.1026913416320667</v>
      </c>
      <c r="AI178" s="327">
        <f t="shared" si="67"/>
        <v>52.407455336277273</v>
      </c>
      <c r="AJ178" s="327">
        <f t="shared" si="68"/>
        <v>2.173051392623095</v>
      </c>
      <c r="AK178" s="336">
        <f t="shared" si="69"/>
        <v>18.539143998383736</v>
      </c>
      <c r="AL178" s="42">
        <f t="shared" si="70"/>
        <v>14.360027327381472</v>
      </c>
      <c r="BA178" s="8"/>
    </row>
    <row r="179" spans="1:53" x14ac:dyDescent="0.25">
      <c r="A179" s="115"/>
      <c r="B179" s="327">
        <f t="shared" si="43"/>
        <v>1491.2921357824839</v>
      </c>
      <c r="C179" s="327">
        <f t="shared" si="44"/>
        <v>1479.9522446615363</v>
      </c>
      <c r="D179" s="327">
        <f t="shared" si="45"/>
        <v>8.1026913416320667</v>
      </c>
      <c r="E179" s="327">
        <f t="shared" si="36"/>
        <v>63.685239644802849</v>
      </c>
      <c r="F179" s="327">
        <f t="shared" si="46"/>
        <v>63.621334552154792</v>
      </c>
      <c r="G179" s="327">
        <f t="shared" si="47"/>
        <v>3482.4241091199465</v>
      </c>
      <c r="H179" s="312">
        <f t="shared" si="71"/>
        <v>0.02</v>
      </c>
      <c r="I179" s="327">
        <f t="shared" si="48"/>
        <v>6.8039346725685848</v>
      </c>
      <c r="J179" s="327">
        <f t="shared" si="38"/>
        <v>1848</v>
      </c>
      <c r="K179" s="334">
        <f t="shared" si="49"/>
        <v>-1</v>
      </c>
      <c r="L179" s="322">
        <f t="shared" si="50"/>
        <v>8.0826913416320672</v>
      </c>
      <c r="M179" s="322">
        <f t="shared" si="51"/>
        <v>8.0926913416320669</v>
      </c>
      <c r="N179" s="327">
        <f t="shared" si="52"/>
        <v>-5.401735537444452E-2</v>
      </c>
      <c r="O179" s="327">
        <f t="shared" si="39"/>
        <v>0.49216982924005093</v>
      </c>
      <c r="P179" s="331">
        <f t="shared" si="41"/>
        <v>211.82778312226839</v>
      </c>
      <c r="Q179" s="327">
        <f t="shared" si="53"/>
        <v>1650.2938657158579</v>
      </c>
      <c r="R179" s="276">
        <f>IF(H179&gt;0, rate1(1,$L$52,$L$51,$L$54,L179,$L$53,$L$50,P179),"")</f>
        <v>2315.195446702849</v>
      </c>
      <c r="S179" s="322">
        <f t="shared" si="54"/>
        <v>1.4483003593763271</v>
      </c>
      <c r="T179" s="322">
        <f t="shared" si="55"/>
        <v>0.12049366957812205</v>
      </c>
      <c r="U179" s="327">
        <f t="shared" si="40"/>
        <v>8.1026913416320667</v>
      </c>
      <c r="V179" s="335">
        <f t="shared" si="56"/>
        <v>8.1026913416320667</v>
      </c>
      <c r="W179" s="327">
        <f t="shared" si="57"/>
        <v>1.9337320098280486E-3</v>
      </c>
      <c r="X179" s="327">
        <f t="shared" si="58"/>
        <v>1659.7548425969076</v>
      </c>
      <c r="Y179" s="327">
        <f t="shared" si="42"/>
        <v>212.3516104873689</v>
      </c>
      <c r="Z179" s="107">
        <f>IF(H179&gt;0, rate1(1,$L$52,$L$51,$L$54,U179,$L$53,$L$50,Y179),"")</f>
        <v>2315.8822723838553</v>
      </c>
      <c r="AA179" s="335">
        <f t="shared" si="59"/>
        <v>1.4561713391427273</v>
      </c>
      <c r="AB179" s="335">
        <f t="shared" si="60"/>
        <v>-4.2390475768645797E-3</v>
      </c>
      <c r="AC179" s="327">
        <f t="shared" si="61"/>
        <v>0.12049366957812205</v>
      </c>
      <c r="AD179" s="327">
        <f t="shared" si="62"/>
        <v>-0.16598382363177183</v>
      </c>
      <c r="AE179" s="327">
        <f t="shared" si="63"/>
        <v>-1.0020636625815083E-2</v>
      </c>
      <c r="AF179" s="327">
        <f t="shared" si="64"/>
        <v>1491.1176247575313</v>
      </c>
      <c r="AG179" s="327">
        <f t="shared" si="65"/>
        <v>1479.8317509919582</v>
      </c>
      <c r="AH179" s="327">
        <f t="shared" si="66"/>
        <v>8.083369796771791</v>
      </c>
      <c r="AI179" s="327">
        <f t="shared" si="67"/>
        <v>52.044707391646483</v>
      </c>
      <c r="AJ179" s="327">
        <f t="shared" si="68"/>
        <v>2.1875082557874412</v>
      </c>
      <c r="AK179" s="336">
        <f t="shared" si="69"/>
        <v>18.722588635979367</v>
      </c>
      <c r="AL179" s="42">
        <f t="shared" si="70"/>
        <v>14.456876304842913</v>
      </c>
      <c r="BA179" s="8"/>
    </row>
    <row r="180" spans="1:53" x14ac:dyDescent="0.25">
      <c r="A180" s="115"/>
      <c r="B180" s="327">
        <f t="shared" si="43"/>
        <v>1491.1176247575313</v>
      </c>
      <c r="C180" s="327">
        <f t="shared" si="44"/>
        <v>1479.8317509919582</v>
      </c>
      <c r="D180" s="327">
        <f t="shared" si="45"/>
        <v>8.083369796771791</v>
      </c>
      <c r="E180" s="327">
        <f t="shared" si="36"/>
        <v>63.811143689962691</v>
      </c>
      <c r="F180" s="327">
        <f t="shared" si="46"/>
        <v>63.74819166738277</v>
      </c>
      <c r="G180" s="327">
        <f t="shared" si="47"/>
        <v>3464.4037189714309</v>
      </c>
      <c r="H180" s="312">
        <f t="shared" si="71"/>
        <v>0.02</v>
      </c>
      <c r="I180" s="327">
        <f t="shared" si="48"/>
        <v>6.7715242593438685</v>
      </c>
      <c r="J180" s="327">
        <f t="shared" si="38"/>
        <v>1848</v>
      </c>
      <c r="K180" s="334">
        <f t="shared" si="49"/>
        <v>-1</v>
      </c>
      <c r="L180" s="322">
        <f t="shared" si="50"/>
        <v>8.0633697967717914</v>
      </c>
      <c r="M180" s="322">
        <f t="shared" si="51"/>
        <v>8.0733697967717912</v>
      </c>
      <c r="N180" s="327">
        <f t="shared" si="52"/>
        <v>-5.3893064243329292E-2</v>
      </c>
      <c r="O180" s="327">
        <f t="shared" si="39"/>
        <v>0.48624093949852198</v>
      </c>
      <c r="P180" s="331">
        <f t="shared" si="41"/>
        <v>211.15297276941368</v>
      </c>
      <c r="Q180" s="327">
        <f t="shared" si="53"/>
        <v>1632.16341196434</v>
      </c>
      <c r="R180" s="276">
        <f>IF(H180&gt;0, rate1(1,$L$52,$L$51,$L$54,L180,$L$53,$L$50,P180),"")</f>
        <v>2314.3062398793058</v>
      </c>
      <c r="S180" s="322">
        <f t="shared" si="54"/>
        <v>1.4504116850041766</v>
      </c>
      <c r="T180" s="322">
        <f t="shared" si="55"/>
        <v>0.11965289986388686</v>
      </c>
      <c r="U180" s="327">
        <f t="shared" si="40"/>
        <v>8.083369796771791</v>
      </c>
      <c r="V180" s="335">
        <f t="shared" si="56"/>
        <v>8.083369796771791</v>
      </c>
      <c r="W180" s="327">
        <f t="shared" si="57"/>
        <v>1.9245207142262188E-3</v>
      </c>
      <c r="X180" s="327">
        <f t="shared" si="58"/>
        <v>1641.6653651547117</v>
      </c>
      <c r="Y180" s="327">
        <f t="shared" si="42"/>
        <v>211.67638182749775</v>
      </c>
      <c r="Z180" s="107">
        <f>IF(H180&gt;0, rate1(1,$L$52,$L$51,$L$54,U180,$L$53,$L$50,Y180),"")</f>
        <v>2314.9963771114417</v>
      </c>
      <c r="AA180" s="335">
        <f t="shared" si="59"/>
        <v>1.4584206275294052</v>
      </c>
      <c r="AB180" s="335">
        <f t="shared" si="60"/>
        <v>-4.1981547047700669E-3</v>
      </c>
      <c r="AC180" s="327">
        <f t="shared" si="61"/>
        <v>0.11965289986388686</v>
      </c>
      <c r="AD180" s="327">
        <f t="shared" si="62"/>
        <v>-0.16715014866126382</v>
      </c>
      <c r="AE180" s="327">
        <f t="shared" si="63"/>
        <v>-9.7134431876499047E-3</v>
      </c>
      <c r="AF180" s="327">
        <f t="shared" si="64"/>
        <v>1490.9440787934241</v>
      </c>
      <c r="AG180" s="327">
        <f t="shared" si="65"/>
        <v>1479.7120980920943</v>
      </c>
      <c r="AH180" s="327">
        <f t="shared" si="66"/>
        <v>8.0640465749398302</v>
      </c>
      <c r="AI180" s="327">
        <f t="shared" si="67"/>
        <v>51.701411767410228</v>
      </c>
      <c r="AJ180" s="327">
        <f t="shared" si="68"/>
        <v>2.2018697590561662</v>
      </c>
      <c r="AK180" s="336">
        <f t="shared" si="69"/>
        <v>18.903830379752129</v>
      </c>
      <c r="AL180" s="42">
        <f t="shared" si="70"/>
        <v>14.553054924102677</v>
      </c>
      <c r="BA180" s="8"/>
    </row>
    <row r="181" spans="1:53" x14ac:dyDescent="0.25">
      <c r="A181" s="115"/>
      <c r="B181" s="327">
        <f t="shared" si="43"/>
        <v>1490.9440787934241</v>
      </c>
      <c r="C181" s="327">
        <f t="shared" si="44"/>
        <v>1479.7120980920943</v>
      </c>
      <c r="D181" s="327">
        <f t="shared" si="45"/>
        <v>8.0640465749398302</v>
      </c>
      <c r="E181" s="327">
        <f t="shared" si="36"/>
        <v>63.935249512904846</v>
      </c>
      <c r="F181" s="327">
        <f t="shared" si="46"/>
        <v>63.873196601433769</v>
      </c>
      <c r="G181" s="327">
        <f t="shared" si="47"/>
        <v>3446.3014725715211</v>
      </c>
      <c r="H181" s="312">
        <f t="shared" si="71"/>
        <v>0.02</v>
      </c>
      <c r="I181" s="327">
        <f t="shared" si="48"/>
        <v>6.7391884207978814</v>
      </c>
      <c r="J181" s="327">
        <f t="shared" si="38"/>
        <v>1848</v>
      </c>
      <c r="K181" s="334">
        <f t="shared" si="49"/>
        <v>-1</v>
      </c>
      <c r="L181" s="322">
        <f t="shared" si="50"/>
        <v>8.0440465749398307</v>
      </c>
      <c r="M181" s="322">
        <f t="shared" si="51"/>
        <v>8.0540465749398304</v>
      </c>
      <c r="N181" s="327">
        <f t="shared" si="52"/>
        <v>-5.3768740330458087E-2</v>
      </c>
      <c r="O181" s="327">
        <f t="shared" si="39"/>
        <v>0.48034618193576706</v>
      </c>
      <c r="P181" s="331">
        <f t="shared" si="41"/>
        <v>210.47864344305086</v>
      </c>
      <c r="Q181" s="327">
        <f t="shared" si="53"/>
        <v>1613.9544229894877</v>
      </c>
      <c r="R181" s="276">
        <f>IF(H181&gt;0, rate1(1,$L$52,$L$51,$L$54,L181,$L$53,$L$50,P181),"")</f>
        <v>2313.4126598983812</v>
      </c>
      <c r="S181" s="322">
        <f t="shared" si="54"/>
        <v>1.4523918908730629</v>
      </c>
      <c r="T181" s="322">
        <f t="shared" si="55"/>
        <v>0.11885434159018804</v>
      </c>
      <c r="U181" s="327">
        <f t="shared" si="40"/>
        <v>8.0640465749398302</v>
      </c>
      <c r="V181" s="335">
        <f t="shared" si="56"/>
        <v>8.0640465749398302</v>
      </c>
      <c r="W181" s="327">
        <f t="shared" si="57"/>
        <v>1.9153306133290471E-3</v>
      </c>
      <c r="X181" s="327">
        <f t="shared" si="58"/>
        <v>1623.4930907735916</v>
      </c>
      <c r="Y181" s="327">
        <f t="shared" si="42"/>
        <v>211.00163349004569</v>
      </c>
      <c r="Z181" s="107">
        <f>IF(H181&gt;0, rate1(1,$L$52,$L$51,$L$54,U181,$L$53,$L$50,Y181),"")</f>
        <v>2314.1061314290432</v>
      </c>
      <c r="AA181" s="335">
        <f t="shared" si="59"/>
        <v>1.4605378916555918</v>
      </c>
      <c r="AB181" s="335">
        <f t="shared" si="60"/>
        <v>-4.1588990787351024E-3</v>
      </c>
      <c r="AC181" s="327">
        <f t="shared" si="61"/>
        <v>0.11885434159018804</v>
      </c>
      <c r="AD181" s="327">
        <f t="shared" si="62"/>
        <v>-0.16827319669112609</v>
      </c>
      <c r="AE181" s="327">
        <f t="shared" si="63"/>
        <v>-9.4173076089055542E-3</v>
      </c>
      <c r="AF181" s="327">
        <f t="shared" si="64"/>
        <v>1490.7714557115034</v>
      </c>
      <c r="AG181" s="327">
        <f t="shared" si="65"/>
        <v>1479.5932437505041</v>
      </c>
      <c r="AH181" s="327">
        <f t="shared" si="66"/>
        <v>8.0447216758481641</v>
      </c>
      <c r="AI181" s="327">
        <f t="shared" si="67"/>
        <v>51.376195717459602</v>
      </c>
      <c r="AJ181" s="327">
        <f t="shared" si="68"/>
        <v>2.2161409245332382</v>
      </c>
      <c r="AK181" s="336">
        <f t="shared" si="69"/>
        <v>19.082944942955219</v>
      </c>
      <c r="AL181" s="42">
        <f t="shared" si="70"/>
        <v>14.648599133048851</v>
      </c>
      <c r="BA181" s="8"/>
    </row>
    <row r="182" spans="1:53" x14ac:dyDescent="0.25">
      <c r="A182" s="115"/>
      <c r="B182" s="327">
        <f t="shared" si="43"/>
        <v>1490.7714557115034</v>
      </c>
      <c r="C182" s="327">
        <f t="shared" si="44"/>
        <v>1479.5932437505041</v>
      </c>
      <c r="D182" s="327">
        <f t="shared" si="45"/>
        <v>8.0447216758481641</v>
      </c>
      <c r="E182" s="327">
        <f t="shared" si="36"/>
        <v>64.057657468489182</v>
      </c>
      <c r="F182" s="327">
        <f t="shared" si="46"/>
        <v>63.996453490697014</v>
      </c>
      <c r="G182" s="327">
        <f t="shared" si="47"/>
        <v>3428.1255470745241</v>
      </c>
      <c r="H182" s="312">
        <f t="shared" si="71"/>
        <v>0.02</v>
      </c>
      <c r="I182" s="327">
        <f t="shared" si="48"/>
        <v>6.7069271765995833</v>
      </c>
      <c r="J182" s="327">
        <f t="shared" si="38"/>
        <v>1848</v>
      </c>
      <c r="K182" s="334">
        <f t="shared" si="49"/>
        <v>-1</v>
      </c>
      <c r="L182" s="322">
        <f t="shared" si="50"/>
        <v>8.0247216758481645</v>
      </c>
      <c r="M182" s="322">
        <f t="shared" si="51"/>
        <v>8.0347216758481643</v>
      </c>
      <c r="N182" s="327">
        <f t="shared" si="52"/>
        <v>-5.3644383628220993E-2</v>
      </c>
      <c r="O182" s="327">
        <f t="shared" si="39"/>
        <v>0.47448402288487312</v>
      </c>
      <c r="P182" s="331">
        <f t="shared" si="41"/>
        <v>209.80479613617871</v>
      </c>
      <c r="Q182" s="327">
        <f t="shared" si="53"/>
        <v>1595.6748299696155</v>
      </c>
      <c r="R182" s="276">
        <f>IF(H182&gt;0, rate1(1,$L$52,$L$51,$L$54,L182,$L$53,$L$50,P182),"")</f>
        <v>2312.5146764336159</v>
      </c>
      <c r="S182" s="322">
        <f t="shared" si="54"/>
        <v>1.4542474257831139</v>
      </c>
      <c r="T182" s="322">
        <f t="shared" si="55"/>
        <v>0.11809507458570424</v>
      </c>
      <c r="U182" s="327">
        <f t="shared" si="40"/>
        <v>8.0447216758481641</v>
      </c>
      <c r="V182" s="335">
        <f t="shared" si="56"/>
        <v>8.0447216758481641</v>
      </c>
      <c r="W182" s="327">
        <f t="shared" si="57"/>
        <v>1.9061617127533736E-3</v>
      </c>
      <c r="X182" s="327">
        <f t="shared" si="58"/>
        <v>1605.2462495658051</v>
      </c>
      <c r="Y182" s="327">
        <f t="shared" si="42"/>
        <v>210.32736646515795</v>
      </c>
      <c r="Z182" s="107">
        <f>IF(H182&gt;0, rate1(1,$L$52,$L$51,$L$54,U182,$L$53,$L$50,Y182),"")</f>
        <v>2313.2115052112435</v>
      </c>
      <c r="AA182" s="335">
        <f t="shared" si="59"/>
        <v>1.4625298106962081</v>
      </c>
      <c r="AB182" s="335">
        <f t="shared" si="60"/>
        <v>-4.1211650982759035E-3</v>
      </c>
      <c r="AC182" s="327">
        <f t="shared" si="61"/>
        <v>0.11809507458570424</v>
      </c>
      <c r="AD182" s="327">
        <f t="shared" si="62"/>
        <v>-0.16935507319135101</v>
      </c>
      <c r="AE182" s="327">
        <f t="shared" si="63"/>
        <v>-9.1317085113375249E-3</v>
      </c>
      <c r="AF182" s="327">
        <f t="shared" si="64"/>
        <v>1490.5997162532894</v>
      </c>
      <c r="AG182" s="327">
        <f t="shared" si="65"/>
        <v>1479.4751486759185</v>
      </c>
      <c r="AH182" s="327">
        <f t="shared" si="66"/>
        <v>8.0253950992077296</v>
      </c>
      <c r="AI182" s="327">
        <f t="shared" si="67"/>
        <v>51.067816256124992</v>
      </c>
      <c r="AJ182" s="327">
        <f t="shared" si="68"/>
        <v>2.2303264290488283</v>
      </c>
      <c r="AK182" s="336">
        <f t="shared" si="69"/>
        <v>19.260002801911423</v>
      </c>
      <c r="AL182" s="42">
        <f t="shared" si="70"/>
        <v>14.743542342734717</v>
      </c>
      <c r="BA182" s="8"/>
    </row>
    <row r="183" spans="1:53" x14ac:dyDescent="0.25">
      <c r="A183" s="115"/>
      <c r="B183" s="327">
        <f t="shared" si="43"/>
        <v>1490.5997162532894</v>
      </c>
      <c r="C183" s="327">
        <f t="shared" si="44"/>
        <v>1479.4751486759185</v>
      </c>
      <c r="D183" s="327">
        <f t="shared" si="45"/>
        <v>8.0253950992077296</v>
      </c>
      <c r="E183" s="327">
        <f t="shared" si="36"/>
        <v>64.178461060261029</v>
      </c>
      <c r="F183" s="327">
        <f t="shared" si="46"/>
        <v>64.118059264375105</v>
      </c>
      <c r="G183" s="327">
        <f t="shared" si="47"/>
        <v>3409.8835530012534</v>
      </c>
      <c r="H183" s="312">
        <f t="shared" si="71"/>
        <v>0.02</v>
      </c>
      <c r="I183" s="327">
        <f t="shared" si="48"/>
        <v>6.674740546422572</v>
      </c>
      <c r="J183" s="327">
        <f t="shared" si="38"/>
        <v>1848</v>
      </c>
      <c r="K183" s="334">
        <f t="shared" si="49"/>
        <v>-1</v>
      </c>
      <c r="L183" s="322">
        <f t="shared" si="50"/>
        <v>8.0053950992077301</v>
      </c>
      <c r="M183" s="322">
        <f t="shared" si="51"/>
        <v>8.0153950992077299</v>
      </c>
      <c r="N183" s="327">
        <f t="shared" si="52"/>
        <v>-5.3519994129054282E-2</v>
      </c>
      <c r="O183" s="327">
        <f t="shared" si="39"/>
        <v>0.46865303760509514</v>
      </c>
      <c r="P183" s="331">
        <f t="shared" si="41"/>
        <v>209.13143184571084</v>
      </c>
      <c r="Q183" s="327">
        <f t="shared" si="53"/>
        <v>1577.3320211362593</v>
      </c>
      <c r="R183" s="276">
        <f>IF(H183&gt;0, rate1(1,$L$52,$L$51,$L$54,L183,$L$53,$L$50,P183),"")</f>
        <v>2311.6122588887911</v>
      </c>
      <c r="S183" s="322">
        <f t="shared" si="54"/>
        <v>1.4559843092324647</v>
      </c>
      <c r="T183" s="322">
        <f t="shared" si="55"/>
        <v>0.11737244691410935</v>
      </c>
      <c r="U183" s="327">
        <f t="shared" si="40"/>
        <v>8.0253950992077296</v>
      </c>
      <c r="V183" s="335">
        <f t="shared" si="56"/>
        <v>8.0253950992077296</v>
      </c>
      <c r="W183" s="327">
        <f t="shared" si="57"/>
        <v>1.8970140180663009E-3</v>
      </c>
      <c r="X183" s="327">
        <f t="shared" si="58"/>
        <v>1586.9325013729485</v>
      </c>
      <c r="Y183" s="327">
        <f t="shared" si="42"/>
        <v>209.65358174687597</v>
      </c>
      <c r="Z183" s="107">
        <f>IF(H183&gt;0, rate1(1,$L$52,$L$51,$L$54,U183,$L$53,$L$50,Y183),"")</f>
        <v>2312.3124680650249</v>
      </c>
      <c r="AA183" s="335">
        <f t="shared" si="59"/>
        <v>1.4644026214805381</v>
      </c>
      <c r="AB183" s="335">
        <f t="shared" si="60"/>
        <v>-4.0848477814757547E-3</v>
      </c>
      <c r="AC183" s="327">
        <f t="shared" si="61"/>
        <v>0.11737244691410935</v>
      </c>
      <c r="AD183" s="327">
        <f t="shared" si="62"/>
        <v>-0.17039774262042584</v>
      </c>
      <c r="AE183" s="327">
        <f t="shared" si="63"/>
        <v>-8.8561634524670762E-3</v>
      </c>
      <c r="AF183" s="327">
        <f t="shared" si="64"/>
        <v>1490.4288238122463</v>
      </c>
      <c r="AG183" s="327">
        <f t="shared" si="65"/>
        <v>1479.3577762290045</v>
      </c>
      <c r="AH183" s="327">
        <f t="shared" si="66"/>
        <v>8.0060668447284176</v>
      </c>
      <c r="AI183" s="327">
        <f t="shared" si="67"/>
        <v>50.77514469080171</v>
      </c>
      <c r="AJ183" s="327">
        <f t="shared" si="68"/>
        <v>2.2444306359073845</v>
      </c>
      <c r="AK183" s="336">
        <f t="shared" si="69"/>
        <v>19.435069687452351</v>
      </c>
      <c r="AL183" s="42">
        <f t="shared" si="70"/>
        <v>14.837915667176036</v>
      </c>
      <c r="BA183" s="8"/>
    </row>
    <row r="184" spans="1:53" x14ac:dyDescent="0.25">
      <c r="A184" s="115"/>
      <c r="B184" s="327">
        <f t="shared" si="43"/>
        <v>1490.4288238122463</v>
      </c>
      <c r="C184" s="327">
        <f t="shared" si="44"/>
        <v>1479.3577762290045</v>
      </c>
      <c r="D184" s="327">
        <f t="shared" si="45"/>
        <v>8.0060668447284176</v>
      </c>
      <c r="E184" s="327">
        <f t="shared" si="36"/>
        <v>64.297747567628292</v>
      </c>
      <c r="F184" s="327">
        <f t="shared" si="46"/>
        <v>64.23810431394466</v>
      </c>
      <c r="G184" s="327">
        <f t="shared" si="47"/>
        <v>3391.5825854072109</v>
      </c>
      <c r="H184" s="312">
        <f t="shared" si="71"/>
        <v>0.02</v>
      </c>
      <c r="I184" s="327">
        <f t="shared" si="48"/>
        <v>6.6426285499450843</v>
      </c>
      <c r="J184" s="327">
        <f t="shared" si="38"/>
        <v>1848</v>
      </c>
      <c r="K184" s="334">
        <f t="shared" si="49"/>
        <v>-1</v>
      </c>
      <c r="L184" s="322">
        <f t="shared" si="50"/>
        <v>7.986066844728418</v>
      </c>
      <c r="M184" s="322">
        <f t="shared" si="51"/>
        <v>7.9960668447284178</v>
      </c>
      <c r="N184" s="327">
        <f t="shared" si="52"/>
        <v>-5.3395571825355148E-2</v>
      </c>
      <c r="O184" s="327">
        <f t="shared" si="39"/>
        <v>0.46285189999556375</v>
      </c>
      <c r="P184" s="331">
        <f t="shared" si="41"/>
        <v>208.45855157250156</v>
      </c>
      <c r="Q184" s="327">
        <f t="shared" si="53"/>
        <v>1558.9328901065301</v>
      </c>
      <c r="R184" s="276">
        <f>IF(H184&gt;0, rate1(1,$L$52,$L$51,$L$54,L184,$L$53,$L$50,P184),"")</f>
        <v>2310.7053763950103</v>
      </c>
      <c r="S184" s="322">
        <f t="shared" si="54"/>
        <v>1.4576081708708497</v>
      </c>
      <c r="T184" s="322">
        <f t="shared" si="55"/>
        <v>0.11668404373929968</v>
      </c>
      <c r="U184" s="327">
        <f t="shared" si="40"/>
        <v>8.0060668447284176</v>
      </c>
      <c r="V184" s="335">
        <f t="shared" si="56"/>
        <v>8.0060668447284176</v>
      </c>
      <c r="W184" s="327">
        <f t="shared" si="57"/>
        <v>1.8878875348633528E-3</v>
      </c>
      <c r="X184" s="327">
        <f t="shared" si="58"/>
        <v>1568.5589872657092</v>
      </c>
      <c r="Y184" s="327">
        <f t="shared" si="42"/>
        <v>208.98028033316331</v>
      </c>
      <c r="Z184" s="107">
        <f>IF(H184&gt;0, rate1(1,$L$52,$L$51,$L$54,U184,$L$53,$L$50,Y184),"")</f>
        <v>2311.4089893268811</v>
      </c>
      <c r="AA184" s="335">
        <f t="shared" si="59"/>
        <v>1.4661621598879166</v>
      </c>
      <c r="AB184" s="335">
        <f t="shared" si="60"/>
        <v>-4.0498515265959675E-3</v>
      </c>
      <c r="AC184" s="327">
        <f t="shared" si="61"/>
        <v>0.11668404373929968</v>
      </c>
      <c r="AD184" s="327">
        <f t="shared" si="62"/>
        <v>-0.17140304157340339</v>
      </c>
      <c r="AE184" s="327">
        <f t="shared" si="63"/>
        <v>-8.5902249510029019E-3</v>
      </c>
      <c r="AF184" s="327">
        <f t="shared" si="64"/>
        <v>1490.2587441966816</v>
      </c>
      <c r="AG184" s="327">
        <f t="shared" si="65"/>
        <v>1479.2410921852652</v>
      </c>
      <c r="AH184" s="327">
        <f t="shared" si="66"/>
        <v>7.986736912118972</v>
      </c>
      <c r="AI184" s="327">
        <f t="shared" si="67"/>
        <v>50.497153350351134</v>
      </c>
      <c r="AJ184" s="327">
        <f t="shared" si="68"/>
        <v>2.2584576229491486</v>
      </c>
      <c r="AK184" s="336">
        <f t="shared" si="69"/>
        <v>19.608207018234776</v>
      </c>
      <c r="AL184" s="42">
        <f t="shared" si="70"/>
        <v>14.931748134564637</v>
      </c>
      <c r="BA184" s="8"/>
    </row>
    <row r="185" spans="1:53" x14ac:dyDescent="0.25">
      <c r="A185" s="115"/>
      <c r="B185" s="327">
        <f t="shared" si="43"/>
        <v>1490.2587441966816</v>
      </c>
      <c r="C185" s="327">
        <f t="shared" si="44"/>
        <v>1479.2410921852652</v>
      </c>
      <c r="D185" s="327">
        <f t="shared" si="45"/>
        <v>7.986736912118972</v>
      </c>
      <c r="E185" s="327">
        <f t="shared" si="36"/>
        <v>64.415598600455382</v>
      </c>
      <c r="F185" s="327">
        <f t="shared" si="46"/>
        <v>64.35667308404183</v>
      </c>
      <c r="G185" s="327">
        <f t="shared" si="47"/>
        <v>3373.2292691905554</v>
      </c>
      <c r="H185" s="312">
        <f t="shared" si="71"/>
        <v>0.02</v>
      </c>
      <c r="I185" s="327">
        <f t="shared" si="48"/>
        <v>6.6105912068498585</v>
      </c>
      <c r="J185" s="327">
        <f t="shared" si="38"/>
        <v>1848</v>
      </c>
      <c r="K185" s="334">
        <f t="shared" si="49"/>
        <v>-1</v>
      </c>
      <c r="L185" s="322">
        <f t="shared" si="50"/>
        <v>7.9667369121189724</v>
      </c>
      <c r="M185" s="322">
        <f t="shared" si="51"/>
        <v>7.9767369121189722</v>
      </c>
      <c r="N185" s="327">
        <f t="shared" si="52"/>
        <v>-5.327111670951723E-2</v>
      </c>
      <c r="O185" s="327">
        <f t="shared" si="39"/>
        <v>0.45707937353466821</v>
      </c>
      <c r="P185" s="331">
        <f t="shared" si="41"/>
        <v>207.78615632136817</v>
      </c>
      <c r="Q185" s="327">
        <f t="shared" si="53"/>
        <v>1540.4838787591675</v>
      </c>
      <c r="R185" s="276">
        <f>IF(H185&gt;0, rate1(1,$L$52,$L$51,$L$54,L185,$L$53,$L$50,P185),"")</f>
        <v>2309.7939978077507</v>
      </c>
      <c r="S185" s="322">
        <f t="shared" si="54"/>
        <v>1.4591242853728528</v>
      </c>
      <c r="T185" s="322">
        <f t="shared" si="55"/>
        <v>0.11602766049775824</v>
      </c>
      <c r="U185" s="327">
        <f t="shared" si="40"/>
        <v>7.986736912118972</v>
      </c>
      <c r="V185" s="335">
        <f t="shared" si="56"/>
        <v>7.986736912118972</v>
      </c>
      <c r="W185" s="327">
        <f t="shared" si="57"/>
        <v>1.8787822687507116E-3</v>
      </c>
      <c r="X185" s="327">
        <f t="shared" si="58"/>
        <v>1550.1323751451623</v>
      </c>
      <c r="Y185" s="327">
        <f t="shared" si="42"/>
        <v>208.30746322592719</v>
      </c>
      <c r="Z185" s="107">
        <f>IF(H185&gt;0, rate1(1,$L$52,$L$51,$L$54,U185,$L$53,$L$50,Y185),"")</f>
        <v>2310.501038059891</v>
      </c>
      <c r="AA185" s="335">
        <f t="shared" si="59"/>
        <v>1.4678138974217225</v>
      </c>
      <c r="AB185" s="335">
        <f t="shared" si="60"/>
        <v>-4.0160890454629576E-3</v>
      </c>
      <c r="AC185" s="327">
        <f t="shared" si="61"/>
        <v>0.11602766049775824</v>
      </c>
      <c r="AD185" s="327">
        <f t="shared" si="62"/>
        <v>-0.17237269039296382</v>
      </c>
      <c r="AE185" s="327">
        <f t="shared" si="63"/>
        <v>-8.3334770181793562E-3</v>
      </c>
      <c r="AF185" s="327">
        <f t="shared" si="64"/>
        <v>1490.0894454194743</v>
      </c>
      <c r="AG185" s="327">
        <f t="shared" si="65"/>
        <v>1479.1250645247674</v>
      </c>
      <c r="AH185" s="327">
        <f t="shared" si="66"/>
        <v>7.9674053010869752</v>
      </c>
      <c r="AI185" s="327">
        <f t="shared" si="67"/>
        <v>50.232904149842497</v>
      </c>
      <c r="AJ185" s="327">
        <f t="shared" si="68"/>
        <v>2.2724112074352161</v>
      </c>
      <c r="AK185" s="336">
        <f t="shared" si="69"/>
        <v>19.779472284150465</v>
      </c>
      <c r="AL185" s="42">
        <f t="shared" si="70"/>
        <v>15.025066873956087</v>
      </c>
      <c r="BA185" s="8"/>
    </row>
    <row r="186" spans="1:53" x14ac:dyDescent="0.25">
      <c r="A186" s="115"/>
      <c r="B186" s="327">
        <f t="shared" si="43"/>
        <v>1490.0894454194743</v>
      </c>
      <c r="C186" s="327">
        <f t="shared" si="44"/>
        <v>1479.1250645247674</v>
      </c>
      <c r="D186" s="327">
        <f t="shared" si="45"/>
        <v>7.9674053010869752</v>
      </c>
      <c r="E186" s="327">
        <f t="shared" si="36"/>
        <v>64.532090591094246</v>
      </c>
      <c r="F186" s="327">
        <f t="shared" si="46"/>
        <v>64.473844595774807</v>
      </c>
      <c r="G186" s="327">
        <f t="shared" si="47"/>
        <v>3354.8297993486058</v>
      </c>
      <c r="H186" s="312">
        <f t="shared" si="71"/>
        <v>0.02</v>
      </c>
      <c r="I186" s="327">
        <f t="shared" si="48"/>
        <v>6.5786285368241346</v>
      </c>
      <c r="J186" s="327">
        <f t="shared" si="38"/>
        <v>1848</v>
      </c>
      <c r="K186" s="334">
        <f t="shared" si="49"/>
        <v>-1</v>
      </c>
      <c r="L186" s="322">
        <f t="shared" si="50"/>
        <v>7.9474053010869756</v>
      </c>
      <c r="M186" s="322">
        <f t="shared" si="51"/>
        <v>7.9574053010869754</v>
      </c>
      <c r="N186" s="327">
        <f t="shared" si="52"/>
        <v>-5.314662877392351E-2</v>
      </c>
      <c r="O186" s="327">
        <f t="shared" si="39"/>
        <v>0.45133430327109941</v>
      </c>
      <c r="P186" s="331">
        <f t="shared" si="41"/>
        <v>207.11424710111646</v>
      </c>
      <c r="Q186" s="327">
        <f t="shared" si="53"/>
        <v>1521.991015396588</v>
      </c>
      <c r="R186" s="276">
        <f>IF(H186&gt;0, rate1(1,$L$52,$L$51,$L$54,L186,$L$53,$L$50,P186),"")</f>
        <v>2308.8780917038725</v>
      </c>
      <c r="S186" s="322">
        <f t="shared" si="54"/>
        <v>1.4605376033678568</v>
      </c>
      <c r="T186" s="322">
        <f t="shared" si="55"/>
        <v>0.11540127968979846</v>
      </c>
      <c r="U186" s="327">
        <f t="shared" si="40"/>
        <v>7.9674053010869752</v>
      </c>
      <c r="V186" s="335">
        <f t="shared" si="56"/>
        <v>7.9674053010869752</v>
      </c>
      <c r="W186" s="327">
        <f t="shared" si="57"/>
        <v>1.8696982253061378E-3</v>
      </c>
      <c r="X186" s="327">
        <f t="shared" si="58"/>
        <v>1531.6589002595565</v>
      </c>
      <c r="Y186" s="327">
        <f t="shared" si="42"/>
        <v>207.63513143104456</v>
      </c>
      <c r="Z186" s="107">
        <f>IF(H186&gt;0, rate1(1,$L$52,$L$51,$L$54,U186,$L$53,$L$50,Y186),"")</f>
        <v>2309.5885830507609</v>
      </c>
      <c r="AA186" s="335">
        <f t="shared" si="59"/>
        <v>1.4693629736400795</v>
      </c>
      <c r="AB186" s="335">
        <f t="shared" si="60"/>
        <v>-3.9834804411731763E-3</v>
      </c>
      <c r="AC186" s="327">
        <f t="shared" si="61"/>
        <v>0.11540127968979846</v>
      </c>
      <c r="AD186" s="327">
        <f t="shared" si="62"/>
        <v>-0.1733083034586835</v>
      </c>
      <c r="AE186" s="327">
        <f t="shared" si="63"/>
        <v>-8.085532128880973E-3</v>
      </c>
      <c r="AF186" s="327">
        <f t="shared" si="64"/>
        <v>1489.9208975110105</v>
      </c>
      <c r="AG186" s="327">
        <f t="shared" si="65"/>
        <v>1479.0096632450775</v>
      </c>
      <c r="AH186" s="327">
        <f t="shared" si="66"/>
        <v>7.9480720113389189</v>
      </c>
      <c r="AI186" s="327">
        <f t="shared" si="67"/>
        <v>49.98153869814594</v>
      </c>
      <c r="AJ186" s="327">
        <f t="shared" si="68"/>
        <v>2.2862949681847011</v>
      </c>
      <c r="AK186" s="336">
        <f t="shared" si="69"/>
        <v>19.948919386705157</v>
      </c>
      <c r="AL186" s="42">
        <f t="shared" si="70"/>
        <v>15.117897280824996</v>
      </c>
      <c r="BA186" s="8"/>
    </row>
    <row r="187" spans="1:53" x14ac:dyDescent="0.25">
      <c r="A187" s="115"/>
      <c r="B187" s="327">
        <f t="shared" si="43"/>
        <v>1489.9208975110105</v>
      </c>
      <c r="C187" s="327">
        <f t="shared" si="44"/>
        <v>1479.0096632450775</v>
      </c>
      <c r="D187" s="327">
        <f t="shared" si="45"/>
        <v>7.9480720113389189</v>
      </c>
      <c r="E187" s="327">
        <f t="shared" si="36"/>
        <v>64.647295232275809</v>
      </c>
      <c r="F187" s="327">
        <f t="shared" si="46"/>
        <v>64.589692911685034</v>
      </c>
      <c r="G187" s="327">
        <f t="shared" si="47"/>
        <v>3336.3899768617794</v>
      </c>
      <c r="H187" s="312">
        <f t="shared" si="71"/>
        <v>0.02</v>
      </c>
      <c r="I187" s="327">
        <f t="shared" si="48"/>
        <v>6.5467405595597938</v>
      </c>
      <c r="J187" s="327">
        <f t="shared" si="38"/>
        <v>1848</v>
      </c>
      <c r="K187" s="334">
        <f t="shared" si="49"/>
        <v>-1</v>
      </c>
      <c r="L187" s="322">
        <f t="shared" si="50"/>
        <v>7.9280720113389194</v>
      </c>
      <c r="M187" s="322">
        <f t="shared" si="51"/>
        <v>7.9380720113389192</v>
      </c>
      <c r="N187" s="327">
        <f t="shared" si="52"/>
        <v>-5.3022108010949864E-2</v>
      </c>
      <c r="O187" s="327">
        <f t="shared" si="39"/>
        <v>0.4456156087211175</v>
      </c>
      <c r="P187" s="331">
        <f t="shared" si="41"/>
        <v>206.44282492456952</v>
      </c>
      <c r="Q187" s="327">
        <f t="shared" si="53"/>
        <v>1503.4599488179142</v>
      </c>
      <c r="R187" s="276">
        <f>IF(H187&gt;0, rate1(1,$L$52,$L$51,$L$54,L187,$L$53,$L$50,P187),"")</f>
        <v>2307.9576263786003</v>
      </c>
      <c r="S187" s="322">
        <f t="shared" si="54"/>
        <v>1.461852778960895</v>
      </c>
      <c r="T187" s="322">
        <f t="shared" si="55"/>
        <v>0.11480305072590942</v>
      </c>
      <c r="U187" s="327">
        <f t="shared" si="40"/>
        <v>7.9480720113389189</v>
      </c>
      <c r="V187" s="335">
        <f t="shared" si="56"/>
        <v>7.9480720113389189</v>
      </c>
      <c r="W187" s="327">
        <f t="shared" si="57"/>
        <v>1.8606354101322609E-3</v>
      </c>
      <c r="X187" s="327">
        <f t="shared" si="58"/>
        <v>1513.1444013200494</v>
      </c>
      <c r="Y187" s="327">
        <f t="shared" si="42"/>
        <v>206.96328595839003</v>
      </c>
      <c r="Z187" s="107">
        <f>IF(H187&gt;0, rate1(1,$L$52,$L$51,$L$54,U187,$L$53,$L$50,Y187),"")</f>
        <v>2308.6715928068302</v>
      </c>
      <c r="AA187" s="335">
        <f t="shared" si="59"/>
        <v>1.4708142250114276</v>
      </c>
      <c r="AB187" s="335">
        <f t="shared" si="60"/>
        <v>-3.9519524077402286E-3</v>
      </c>
      <c r="AC187" s="327">
        <f t="shared" si="61"/>
        <v>0.11480305072590942</v>
      </c>
      <c r="AD187" s="327">
        <f t="shared" si="62"/>
        <v>-0.17421139833426294</v>
      </c>
      <c r="AE187" s="327">
        <f t="shared" si="63"/>
        <v>-7.8460285603542523E-3</v>
      </c>
      <c r="AF187" s="327">
        <f t="shared" si="64"/>
        <v>1489.7530723522736</v>
      </c>
      <c r="AG187" s="327">
        <f t="shared" si="65"/>
        <v>1478.8948601943516</v>
      </c>
      <c r="AH187" s="327">
        <f t="shared" si="66"/>
        <v>7.9287370425801047</v>
      </c>
      <c r="AI187" s="327">
        <f t="shared" si="67"/>
        <v>49.74226970797816</v>
      </c>
      <c r="AJ187" s="327">
        <f t="shared" si="68"/>
        <v>2.3001122653258061</v>
      </c>
      <c r="AK187" s="336">
        <f t="shared" si="69"/>
        <v>20.116598942146993</v>
      </c>
      <c r="AL187" s="42">
        <f t="shared" si="70"/>
        <v>15.210263164339169</v>
      </c>
      <c r="BA187" s="8"/>
    </row>
    <row r="188" spans="1:53" x14ac:dyDescent="0.25">
      <c r="A188" s="115"/>
      <c r="B188" s="327">
        <f t="shared" si="43"/>
        <v>1489.7530723522736</v>
      </c>
      <c r="C188" s="327">
        <f t="shared" si="44"/>
        <v>1478.8948601943516</v>
      </c>
      <c r="D188" s="327">
        <f t="shared" si="45"/>
        <v>7.9287370425801047</v>
      </c>
      <c r="E188" s="327">
        <f t="shared" si="36"/>
        <v>64.761279867972817</v>
      </c>
      <c r="F188" s="327">
        <f t="shared" si="46"/>
        <v>64.70428755012432</v>
      </c>
      <c r="G188" s="327">
        <f t="shared" si="47"/>
        <v>3317.9152407776701</v>
      </c>
      <c r="H188" s="312">
        <f t="shared" si="71"/>
        <v>0.02</v>
      </c>
      <c r="I188" s="327">
        <f t="shared" si="48"/>
        <v>6.5149272947532149</v>
      </c>
      <c r="J188" s="327">
        <f t="shared" si="38"/>
        <v>1848</v>
      </c>
      <c r="K188" s="334">
        <f t="shared" si="49"/>
        <v>-1</v>
      </c>
      <c r="L188" s="322">
        <f t="shared" si="50"/>
        <v>7.9087370425801051</v>
      </c>
      <c r="M188" s="322">
        <f t="shared" si="51"/>
        <v>7.9187370425801049</v>
      </c>
      <c r="N188" s="327">
        <f t="shared" si="52"/>
        <v>-5.2897554412961512E-2</v>
      </c>
      <c r="O188" s="327">
        <f t="shared" si="39"/>
        <v>0.43992227754978774</v>
      </c>
      <c r="P188" s="331">
        <f t="shared" si="41"/>
        <v>205.77189080859102</v>
      </c>
      <c r="Q188" s="327">
        <f t="shared" si="53"/>
        <v>1484.8959788313714</v>
      </c>
      <c r="R188" s="276">
        <f>IF(H188&gt;0, rate1(1,$L$52,$L$51,$L$54,L188,$L$53,$L$50,P188),"")</f>
        <v>2307.0325698424526</v>
      </c>
      <c r="S188" s="322">
        <f t="shared" si="54"/>
        <v>1.4630741942945957</v>
      </c>
      <c r="T188" s="322">
        <f t="shared" si="55"/>
        <v>0.11423127236347243</v>
      </c>
      <c r="U188" s="327">
        <f t="shared" si="40"/>
        <v>7.9287370425801047</v>
      </c>
      <c r="V188" s="335">
        <f t="shared" si="56"/>
        <v>7.9287370425801047</v>
      </c>
      <c r="W188" s="327">
        <f t="shared" si="57"/>
        <v>1.8515938288388156E-3</v>
      </c>
      <c r="X188" s="327">
        <f t="shared" si="58"/>
        <v>1494.5943527917925</v>
      </c>
      <c r="Y188" s="327">
        <f t="shared" si="42"/>
        <v>206.29192782185942</v>
      </c>
      <c r="Z188" s="107">
        <f>IF(H188&gt;0, rate1(1,$L$52,$L$51,$L$54,U188,$L$53,$L$50,Y188),"")</f>
        <v>2307.7500355530346</v>
      </c>
      <c r="AA188" s="335">
        <f t="shared" si="59"/>
        <v>1.4721722106732456</v>
      </c>
      <c r="AB188" s="335">
        <f t="shared" si="60"/>
        <v>-3.9214375327144418E-3</v>
      </c>
      <c r="AC188" s="327">
        <f t="shared" si="61"/>
        <v>0.11423127236347243</v>
      </c>
      <c r="AD188" s="327">
        <f t="shared" si="62"/>
        <v>-0.175083403924295</v>
      </c>
      <c r="AE188" s="327">
        <f t="shared" si="63"/>
        <v>-7.614628045873764E-3</v>
      </c>
      <c r="AF188" s="327">
        <f t="shared" si="64"/>
        <v>1489.5859435254972</v>
      </c>
      <c r="AG188" s="327">
        <f t="shared" si="65"/>
        <v>1478.7806289219882</v>
      </c>
      <c r="AH188" s="327">
        <f t="shared" si="66"/>
        <v>7.9094003945147122</v>
      </c>
      <c r="AI188" s="327">
        <f t="shared" si="67"/>
        <v>49.514373510241896</v>
      </c>
      <c r="AJ188" s="327">
        <f t="shared" si="68"/>
        <v>2.3138662579675402</v>
      </c>
      <c r="AK188" s="336">
        <f t="shared" si="69"/>
        <v>20.282558552227048</v>
      </c>
      <c r="AL188" s="42">
        <f t="shared" si="70"/>
        <v>15.302186878759512</v>
      </c>
      <c r="BA188" s="8"/>
    </row>
    <row r="189" spans="1:53" x14ac:dyDescent="0.25">
      <c r="A189" s="115"/>
      <c r="B189" s="327">
        <f t="shared" si="43"/>
        <v>1489.5859435254972</v>
      </c>
      <c r="C189" s="327">
        <f t="shared" si="44"/>
        <v>1478.7806289219882</v>
      </c>
      <c r="D189" s="327">
        <f t="shared" si="45"/>
        <v>7.9094003945147122</v>
      </c>
      <c r="E189" s="327">
        <f t="shared" si="36"/>
        <v>64.874107843269357</v>
      </c>
      <c r="F189" s="327">
        <f t="shared" si="46"/>
        <v>64.817693855621087</v>
      </c>
      <c r="G189" s="327">
        <f t="shared" si="47"/>
        <v>3299.4106969815489</v>
      </c>
      <c r="H189" s="312">
        <f t="shared" si="71"/>
        <v>0.02</v>
      </c>
      <c r="I189" s="327">
        <f t="shared" si="48"/>
        <v>6.4831887621054189</v>
      </c>
      <c r="J189" s="327">
        <f t="shared" si="38"/>
        <v>1848</v>
      </c>
      <c r="K189" s="334">
        <f t="shared" si="49"/>
        <v>-1</v>
      </c>
      <c r="L189" s="322">
        <f t="shared" si="50"/>
        <v>7.8894003945147126</v>
      </c>
      <c r="M189" s="322">
        <f t="shared" si="51"/>
        <v>7.8994003945147124</v>
      </c>
      <c r="N189" s="327">
        <f t="shared" si="52"/>
        <v>-5.2772967972316565E-2</v>
      </c>
      <c r="O189" s="327">
        <f t="shared" si="39"/>
        <v>0.43425335993296016</v>
      </c>
      <c r="P189" s="331">
        <f t="shared" si="41"/>
        <v>205.1014457741141</v>
      </c>
      <c r="Q189" s="327">
        <f t="shared" si="53"/>
        <v>1466.3040836559553</v>
      </c>
      <c r="R189" s="276">
        <f>IF(H189&gt;0, rate1(1,$L$52,$L$51,$L$54,L189,$L$53,$L$50,P189),"")</f>
        <v>2306.1028898181467</v>
      </c>
      <c r="S189" s="322">
        <f t="shared" si="54"/>
        <v>1.4642059815344028</v>
      </c>
      <c r="T189" s="322">
        <f t="shared" si="55"/>
        <v>0.11368437734877722</v>
      </c>
      <c r="U189" s="327">
        <f t="shared" si="40"/>
        <v>7.9094003945147122</v>
      </c>
      <c r="V189" s="335">
        <f t="shared" si="56"/>
        <v>7.9094003945147122</v>
      </c>
      <c r="W189" s="327">
        <f t="shared" si="57"/>
        <v>1.842573487010668E-3</v>
      </c>
      <c r="X189" s="327">
        <f t="shared" si="58"/>
        <v>1476.0138938498385</v>
      </c>
      <c r="Y189" s="327">
        <f t="shared" si="42"/>
        <v>205.62105803939838</v>
      </c>
      <c r="Z189" s="107">
        <f>IF(H189&gt;0, rate1(1,$L$52,$L$51,$L$54,U189,$L$53,$L$50,Y189),"")</f>
        <v>2306.8238792288339</v>
      </c>
      <c r="AA189" s="335">
        <f t="shared" si="59"/>
        <v>1.4734412354995023</v>
      </c>
      <c r="AB189" s="335">
        <f t="shared" si="60"/>
        <v>-3.8918736874845048E-3</v>
      </c>
      <c r="AC189" s="327">
        <f t="shared" si="61"/>
        <v>0.11368437734877722</v>
      </c>
      <c r="AD189" s="327">
        <f t="shared" si="62"/>
        <v>-0.17592566776911778</v>
      </c>
      <c r="AE189" s="327">
        <f t="shared" si="63"/>
        <v>-7.391013700780622E-3</v>
      </c>
      <c r="AF189" s="327">
        <f t="shared" si="64"/>
        <v>1489.4194861801761</v>
      </c>
      <c r="AG189" s="327">
        <f t="shared" si="65"/>
        <v>1478.6669445446394</v>
      </c>
      <c r="AH189" s="327">
        <f t="shared" si="66"/>
        <v>7.8900620668457853</v>
      </c>
      <c r="AI189" s="327">
        <f t="shared" si="67"/>
        <v>49.297183508469594</v>
      </c>
      <c r="AJ189" s="327">
        <f t="shared" si="68"/>
        <v>2.327559920053226</v>
      </c>
      <c r="AK189" s="336">
        <f t="shared" si="69"/>
        <v>20.446843046734237</v>
      </c>
      <c r="AL189" s="42">
        <f t="shared" si="70"/>
        <v>15.393689441006439</v>
      </c>
      <c r="BA189" s="8"/>
    </row>
    <row r="190" spans="1:53" x14ac:dyDescent="0.25">
      <c r="A190" s="115"/>
      <c r="B190" s="327">
        <f t="shared" si="43"/>
        <v>1489.4194861801761</v>
      </c>
      <c r="C190" s="327">
        <f t="shared" si="44"/>
        <v>1478.6669445446394</v>
      </c>
      <c r="D190" s="327">
        <f t="shared" si="45"/>
        <v>7.8900620668457853</v>
      </c>
      <c r="E190" s="327">
        <f t="shared" ref="E190:E253" si="72">bb2wang($B$6,$H$12,C190,$H$8,$H$9,I190,$H$10,$H$11,$K$10,$K$11,$H$13)</f>
        <v>64.985838818369444</v>
      </c>
      <c r="F190" s="327">
        <f t="shared" si="46"/>
        <v>64.929973330819394</v>
      </c>
      <c r="G190" s="327">
        <f t="shared" si="47"/>
        <v>3280.8811440665081</v>
      </c>
      <c r="H190" s="312">
        <f t="shared" ref="H190:H208" si="73">dv(S189)</f>
        <v>0.02</v>
      </c>
      <c r="I190" s="327">
        <f t="shared" si="48"/>
        <v>6.4515249813220636</v>
      </c>
      <c r="J190" s="327">
        <f t="shared" ref="J190:J253" si="74">$B$7</f>
        <v>1848</v>
      </c>
      <c r="K190" s="334">
        <f t="shared" si="49"/>
        <v>-1</v>
      </c>
      <c r="L190" s="322">
        <f t="shared" si="50"/>
        <v>7.8700620668457857</v>
      </c>
      <c r="M190" s="322">
        <f t="shared" si="51"/>
        <v>7.8800620668457855</v>
      </c>
      <c r="N190" s="327">
        <f t="shared" si="52"/>
        <v>-5.2648348681358925E-2</v>
      </c>
      <c r="O190" s="327">
        <f t="shared" ref="O190:O253" si="75">IF(wh(B189,$F$51,$F$52,$F$53)&gt;0,wh(B189,$F$51,$F$52,$F$53),O189)</f>
        <v>0.42860796351252028</v>
      </c>
      <c r="P190" s="331">
        <f t="shared" si="41"/>
        <v>204.43149084616806</v>
      </c>
      <c r="Q190" s="327">
        <f t="shared" si="53"/>
        <v>1447.6889445952147</v>
      </c>
      <c r="R190" s="276">
        <f>IF(H190&gt;0, rate1(1,$L$52,$L$51,$L$54,L190,$L$53,$L$50,P190),"")</f>
        <v>2305.1685537374542</v>
      </c>
      <c r="S190" s="322">
        <f t="shared" si="54"/>
        <v>1.4652520426010061</v>
      </c>
      <c r="T190" s="322">
        <f t="shared" si="55"/>
        <v>0.11316091894412046</v>
      </c>
      <c r="U190" s="327">
        <f t="shared" ref="U190:U208" si="76">L190-K190*H190</f>
        <v>7.8900620668457853</v>
      </c>
      <c r="V190" s="335">
        <f t="shared" si="56"/>
        <v>7.8900620668457853</v>
      </c>
      <c r="W190" s="327">
        <f t="shared" si="57"/>
        <v>1.8335743902433421E-3</v>
      </c>
      <c r="X190" s="327">
        <f t="shared" si="58"/>
        <v>1457.4078544158392</v>
      </c>
      <c r="Y190" s="327">
        <f t="shared" si="42"/>
        <v>204.95067763302879</v>
      </c>
      <c r="Z190" s="107">
        <f>IF(H190&gt;0, rate1(1,$L$52,$L$51,$L$54,U190,$L$53,$L$50,Y190),"")</f>
        <v>2305.8930914851016</v>
      </c>
      <c r="AA190" s="335">
        <f t="shared" si="59"/>
        <v>1.4746253708206929</v>
      </c>
      <c r="AB190" s="335">
        <f t="shared" si="60"/>
        <v>-3.8632034926258546E-3</v>
      </c>
      <c r="AC190" s="327">
        <f t="shared" si="61"/>
        <v>0.11316091894412046</v>
      </c>
      <c r="AD190" s="327">
        <f t="shared" si="62"/>
        <v>-0.17673946258669143</v>
      </c>
      <c r="AE190" s="327">
        <f t="shared" si="63"/>
        <v>-7.1748881803826358E-3</v>
      </c>
      <c r="AF190" s="327">
        <f t="shared" si="64"/>
        <v>1489.2536769125506</v>
      </c>
      <c r="AG190" s="327">
        <f t="shared" si="65"/>
        <v>1478.5537836256951</v>
      </c>
      <c r="AH190" s="327">
        <f t="shared" si="66"/>
        <v>7.8707220592751339</v>
      </c>
      <c r="AI190" s="327">
        <f t="shared" si="67"/>
        <v>49.090084436840208</v>
      </c>
      <c r="AJ190" s="327">
        <f t="shared" si="68"/>
        <v>2.3411960546190151</v>
      </c>
      <c r="AK190" s="336">
        <f t="shared" si="69"/>
        <v>20.609494701333144</v>
      </c>
      <c r="AL190" s="42">
        <f t="shared" si="70"/>
        <v>15.484790636130091</v>
      </c>
      <c r="BA190" s="8"/>
    </row>
    <row r="191" spans="1:53" x14ac:dyDescent="0.25">
      <c r="A191" s="115"/>
      <c r="B191" s="327">
        <f t="shared" si="43"/>
        <v>1489.2536769125506</v>
      </c>
      <c r="C191" s="327">
        <f t="shared" si="44"/>
        <v>1478.5537836256951</v>
      </c>
      <c r="D191" s="327">
        <f t="shared" si="45"/>
        <v>7.8707220592751339</v>
      </c>
      <c r="E191" s="327">
        <f t="shared" si="72"/>
        <v>65.096529051139129</v>
      </c>
      <c r="F191" s="327">
        <f t="shared" si="46"/>
        <v>65.041183934754287</v>
      </c>
      <c r="G191" s="327">
        <f t="shared" si="47"/>
        <v>3262.331096656736</v>
      </c>
      <c r="H191" s="312">
        <f t="shared" si="73"/>
        <v>0.02</v>
      </c>
      <c r="I191" s="327">
        <f t="shared" si="48"/>
        <v>6.4199359721133078</v>
      </c>
      <c r="J191" s="327">
        <f t="shared" si="74"/>
        <v>1848</v>
      </c>
      <c r="K191" s="334">
        <f t="shared" si="49"/>
        <v>-1</v>
      </c>
      <c r="L191" s="322">
        <f t="shared" si="50"/>
        <v>7.8507220592751343</v>
      </c>
      <c r="M191" s="322">
        <f t="shared" si="51"/>
        <v>7.8607220592751341</v>
      </c>
      <c r="N191" s="327">
        <f t="shared" si="52"/>
        <v>-5.2523696532432496E-2</v>
      </c>
      <c r="O191" s="327">
        <f t="shared" si="75"/>
        <v>0.42298524887042821</v>
      </c>
      <c r="P191" s="331">
        <f t="shared" ref="P191:P254" si="77">IF(H191&gt;0, $C$54*$L$55*$L$55*M191*M191/(($B$19*(B191-C191))^0.333)*1000,"")</f>
        <v>203.76202705390253</v>
      </c>
      <c r="Q191" s="327">
        <f t="shared" si="53"/>
        <v>1429.0549683117179</v>
      </c>
      <c r="R191" s="276">
        <f>IF(H191&gt;0, rate1(1,$L$52,$L$51,$L$54,L191,$L$53,$L$50,P191),"")</f>
        <v>2304.2295287380161</v>
      </c>
      <c r="S191" s="322">
        <f t="shared" si="54"/>
        <v>1.466216066927184</v>
      </c>
      <c r="T191" s="322">
        <f t="shared" si="55"/>
        <v>0.11265955907228722</v>
      </c>
      <c r="U191" s="327">
        <f t="shared" si="76"/>
        <v>7.8707220592751339</v>
      </c>
      <c r="V191" s="335">
        <f t="shared" si="56"/>
        <v>7.8707220592751339</v>
      </c>
      <c r="W191" s="327">
        <f t="shared" si="57"/>
        <v>1.8245965441572309E-3</v>
      </c>
      <c r="X191" s="327">
        <f t="shared" si="58"/>
        <v>1438.7807786313301</v>
      </c>
      <c r="Y191" s="327">
        <f t="shared" ref="Y191:Y254" si="78">IF(H191&gt;0, $C$54*$L$55*$L$55*V191*V191/(($B$19*(B191-C191))^0.333)*1000,"")</f>
        <v>204.28078762887284</v>
      </c>
      <c r="Z191" s="107">
        <f>IF(H191&gt;0, rate1(1,$L$52,$L$51,$L$54,U191,$L$53,$L$50,Y191),"")</f>
        <v>2304.9576396809698</v>
      </c>
      <c r="AA191" s="335">
        <f t="shared" si="59"/>
        <v>1.4757284730902198</v>
      </c>
      <c r="AB191" s="335">
        <f t="shared" si="60"/>
        <v>-3.835373847407288E-3</v>
      </c>
      <c r="AC191" s="327">
        <f t="shared" si="61"/>
        <v>0.11265955907228722</v>
      </c>
      <c r="AD191" s="327">
        <f t="shared" si="62"/>
        <v>-0.17752599215453294</v>
      </c>
      <c r="AE191" s="327">
        <f t="shared" si="63"/>
        <v>-6.9659720389428654E-3</v>
      </c>
      <c r="AF191" s="327">
        <f t="shared" si="64"/>
        <v>1489.088493656946</v>
      </c>
      <c r="AG191" s="327">
        <f t="shared" si="65"/>
        <v>1478.4411240666229</v>
      </c>
      <c r="AH191" s="327">
        <f t="shared" si="66"/>
        <v>7.8513803715033212</v>
      </c>
      <c r="AI191" s="327">
        <f t="shared" si="67"/>
        <v>48.892507307633011</v>
      </c>
      <c r="AJ191" s="327">
        <f t="shared" si="68"/>
        <v>2.3547773066489133</v>
      </c>
      <c r="AK191" s="336">
        <f t="shared" si="69"/>
        <v>20.770553433722608</v>
      </c>
      <c r="AL191" s="42">
        <f t="shared" si="70"/>
        <v>15.575509112169371</v>
      </c>
      <c r="BA191" s="8"/>
    </row>
    <row r="192" spans="1:53" x14ac:dyDescent="0.25">
      <c r="A192" s="115"/>
      <c r="B192" s="327">
        <f t="shared" ref="B192:B208" si="79">IF(H192&gt;0, AF191,"")</f>
        <v>1489.088493656946</v>
      </c>
      <c r="C192" s="327">
        <f t="shared" ref="C192:C208" si="80">IF(H192&gt;0, AG191,"")</f>
        <v>1478.4411240666229</v>
      </c>
      <c r="D192" s="327">
        <f t="shared" ref="D192:D208" si="81">IF(H192&gt;0, AH191,"")</f>
        <v>7.8513803715033212</v>
      </c>
      <c r="E192" s="327">
        <f t="shared" si="72"/>
        <v>65.206231651951953</v>
      </c>
      <c r="F192" s="327">
        <f t="shared" ref="F192:F208" si="82">IF(H192&gt;0, (E192+E191)/2,"")</f>
        <v>65.151380351545541</v>
      </c>
      <c r="G192" s="327">
        <f t="shared" ref="G192:G208" si="83">IF(H192&gt;0, F192*$S$53*$C$55*(B192-C192+N192)^1.5,"")</f>
        <v>3243.7648064876694</v>
      </c>
      <c r="H192" s="312">
        <f t="shared" si="73"/>
        <v>0.02</v>
      </c>
      <c r="I192" s="327">
        <f t="shared" ref="I192:I208" si="84">IF(H192&gt;0, (B192-C192)*B$19,"")</f>
        <v>6.3884217541938142</v>
      </c>
      <c r="J192" s="327">
        <f t="shared" si="74"/>
        <v>1848</v>
      </c>
      <c r="K192" s="334">
        <f t="shared" ref="K192:K208" si="85">IF(H192&gt;0, IF((1-S191-0.015)&gt;0,1,-1),"")</f>
        <v>-1</v>
      </c>
      <c r="L192" s="322">
        <f t="shared" ref="L192:L208" si="86">IF(H192&gt;0, D192+K192*H192,"")</f>
        <v>7.8313803715033217</v>
      </c>
      <c r="M192" s="322">
        <f t="shared" ref="M192:M208" si="87">IF(H192&gt;0, (D192+L192)/2,"")</f>
        <v>7.8413803715033215</v>
      </c>
      <c r="N192" s="327">
        <f t="shared" ref="N192:N208" si="88">IF(H192&gt;0, 2*($P$53*M192/$S$52/$S$51)^2-(B192-C192)*2,"")</f>
        <v>-5.2399011517856309E-2</v>
      </c>
      <c r="O192" s="327">
        <f t="shared" si="75"/>
        <v>0.41738442545783494</v>
      </c>
      <c r="P192" s="331">
        <f t="shared" si="77"/>
        <v>203.09305543061416</v>
      </c>
      <c r="Q192" s="327">
        <f t="shared" ref="Q192:Q208" si="89">IF(H192&gt;0, M192/$S$54*(B192-C192+N192/2)*E192-J192,"")</f>
        <v>1410.4063069848389</v>
      </c>
      <c r="R192" s="276">
        <f>IF(H192&gt;0, rate1(1,$L$52,$L$51,$L$54,L192,$L$53,$L$50,P192),"")</f>
        <v>2303.2857816601204</v>
      </c>
      <c r="S192" s="322">
        <f t="shared" ref="S192:S208" si="90">IF(H192&gt;0, Q192/O192/R192,"")</f>
        <v>1.4671015474769931</v>
      </c>
      <c r="T192" s="322">
        <f t="shared" ref="T192:T208" si="91">IF(H192&gt;0, N192/(1-S192),"")</f>
        <v>0.11217905785344717</v>
      </c>
      <c r="U192" s="327">
        <f t="shared" si="76"/>
        <v>7.8513803715033212</v>
      </c>
      <c r="V192" s="335">
        <f t="shared" ref="V192:V208" si="92">IF(H192&gt;0, (D192+U192)/2,"")</f>
        <v>7.8513803715033212</v>
      </c>
      <c r="W192" s="327">
        <f t="shared" ref="W192:W208" si="93">IF(H192&gt;0, 2*($P$53*V192/$S$52/$S$51)^2-(B192-C192)*2,"")</f>
        <v>1.8156399543478585E-3</v>
      </c>
      <c r="X192" s="327">
        <f t="shared" ref="X192:X208" si="94">IF(H192&gt;0, V192/$S$54*(B192-C192+W192/2)*F192-J192,"")</f>
        <v>1420.1369460732685</v>
      </c>
      <c r="Y192" s="327">
        <f t="shared" si="78"/>
        <v>203.61138905717948</v>
      </c>
      <c r="Z192" s="107">
        <f>IF(H192&gt;0, rate1(1,$L$52,$L$51,$L$54,U192,$L$53,$L$50,Y192),"")</f>
        <v>2304.0174908806343</v>
      </c>
      <c r="AA192" s="335">
        <f t="shared" ref="AA192:AA208" si="95">IF(H192&gt;0, X192/O192/Z192,"")</f>
        <v>1.4767542007494239</v>
      </c>
      <c r="AB192" s="335">
        <f t="shared" ref="AB192:AB208" si="96">IF(H192&gt;0, W192/(1-AA192),"")</f>
        <v>-3.8083355143883387E-3</v>
      </c>
      <c r="AC192" s="327">
        <f t="shared" ref="AC192:AC208" si="97">IF(H192&gt;0, delta_z(N192,S192,H192,AE191,AB192),"")</f>
        <v>0.11217905785344717</v>
      </c>
      <c r="AD192" s="327">
        <f t="shared" ref="AD192:AD208" si="98">IF(H192&gt;0, H192/AC192*K192,"")</f>
        <v>-0.17828639661182014</v>
      </c>
      <c r="AE192" s="327">
        <f t="shared" ref="AE192:AE208" si="99">IF(H192&gt;0, (AD192-AD191)/(AC192+AC191)*2,"")</f>
        <v>-6.7640022669092185E-3</v>
      </c>
      <c r="AF192" s="327">
        <f t="shared" ref="AF192:AF208" si="100">IF(H192&gt;0, B192-(AC192-N192),"")</f>
        <v>1488.9239155875746</v>
      </c>
      <c r="AG192" s="327">
        <f t="shared" ref="AG192:AG208" si="101">IF(H192&gt;0, C192-AC192,"")</f>
        <v>1478.3289450087696</v>
      </c>
      <c r="AH192" s="327">
        <f t="shared" ref="AH192:AH208" si="102">IF(H192&gt;0, $S$54*$S$53*$C$55*SQRT(AF192-AG192),"")</f>
        <v>7.8320370032298072</v>
      </c>
      <c r="AI192" s="327">
        <f t="shared" ref="AI192:AI208" si="103">IF(H192&gt;0, AC192/R192*1000000,"")</f>
        <v>48.703924952201454</v>
      </c>
      <c r="AJ192" s="327">
        <f t="shared" ref="AJ192:AJ208" si="104">IF(H192&gt;0, AJ191+AI192/3600,"")</f>
        <v>2.3683061746911913</v>
      </c>
      <c r="AK192" s="336">
        <f t="shared" ref="AK192:AK208" si="105">IF(H192&gt;0, AK191+AI191*G191/1000000,"")</f>
        <v>20.930056980705814</v>
      </c>
      <c r="AL192" s="42">
        <f t="shared" ref="AL192:AL208" si="106">IF(H192&gt;0, AL191+AI191*J191/1000000,"")</f>
        <v>15.665862465673877</v>
      </c>
      <c r="BA192" s="8"/>
    </row>
    <row r="193" spans="1:53" x14ac:dyDescent="0.25">
      <c r="A193" s="115"/>
      <c r="B193" s="327">
        <f t="shared" si="79"/>
        <v>1488.9239155875746</v>
      </c>
      <c r="C193" s="327">
        <f t="shared" si="80"/>
        <v>1478.3289450087696</v>
      </c>
      <c r="D193" s="327">
        <f t="shared" si="81"/>
        <v>7.8320370032298072</v>
      </c>
      <c r="E193" s="327">
        <f t="shared" si="72"/>
        <v>65.314996814086129</v>
      </c>
      <c r="F193" s="327">
        <f t="shared" si="82"/>
        <v>65.260614233019041</v>
      </c>
      <c r="G193" s="327">
        <f t="shared" si="83"/>
        <v>3225.1862815044233</v>
      </c>
      <c r="H193" s="312">
        <f t="shared" si="73"/>
        <v>0.02</v>
      </c>
      <c r="I193" s="327">
        <f t="shared" si="84"/>
        <v>6.3569823472830196</v>
      </c>
      <c r="J193" s="327">
        <f t="shared" si="74"/>
        <v>1848</v>
      </c>
      <c r="K193" s="334">
        <f t="shared" si="85"/>
        <v>-1</v>
      </c>
      <c r="L193" s="322">
        <f t="shared" si="86"/>
        <v>7.8120370032298077</v>
      </c>
      <c r="M193" s="322">
        <f t="shared" si="87"/>
        <v>7.8220370032298074</v>
      </c>
      <c r="N193" s="327">
        <f t="shared" si="88"/>
        <v>-5.2274293629970714E-2</v>
      </c>
      <c r="O193" s="327">
        <f t="shared" si="75"/>
        <v>0.41180474792467825</v>
      </c>
      <c r="P193" s="331">
        <f t="shared" si="77"/>
        <v>202.42457701377947</v>
      </c>
      <c r="Q193" s="327">
        <f t="shared" si="89"/>
        <v>1391.7468765957633</v>
      </c>
      <c r="R193" s="276">
        <f>IF(H193&gt;0, rate1(1,$L$52,$L$51,$L$54,L193,$L$53,$L$50,P193),"")</f>
        <v>2302.3372790434441</v>
      </c>
      <c r="S193" s="322">
        <f t="shared" si="90"/>
        <v>1.467911795231831</v>
      </c>
      <c r="T193" s="322">
        <f t="shared" si="91"/>
        <v>0.11171826434525113</v>
      </c>
      <c r="U193" s="327">
        <f t="shared" si="76"/>
        <v>7.8320370032298072</v>
      </c>
      <c r="V193" s="335">
        <f t="shared" si="92"/>
        <v>7.8320370032298072</v>
      </c>
      <c r="W193" s="327">
        <f t="shared" si="93"/>
        <v>1.8067046264214071E-3</v>
      </c>
      <c r="X193" s="327">
        <f t="shared" si="94"/>
        <v>1401.4803909750513</v>
      </c>
      <c r="Y193" s="327">
        <f t="shared" si="78"/>
        <v>202.94248295235724</v>
      </c>
      <c r="Z193" s="107">
        <f>IF(H193&gt;0, rate1(1,$L$52,$L$51,$L$54,U193,$L$53,$L$50,Y193),"")</f>
        <v>2303.072611850132</v>
      </c>
      <c r="AA193" s="335">
        <f t="shared" si="95"/>
        <v>1.4777060295081814</v>
      </c>
      <c r="AB193" s="335">
        <f t="shared" si="96"/>
        <v>-3.7820427518603563E-3</v>
      </c>
      <c r="AC193" s="327">
        <f t="shared" si="97"/>
        <v>0.11171826434525113</v>
      </c>
      <c r="AD193" s="327">
        <f t="shared" si="98"/>
        <v>-0.17902175724993843</v>
      </c>
      <c r="AE193" s="327">
        <f t="shared" si="99"/>
        <v>-6.568730978083792E-3</v>
      </c>
      <c r="AF193" s="327">
        <f t="shared" si="100"/>
        <v>1488.7599230295993</v>
      </c>
      <c r="AG193" s="327">
        <f t="shared" si="101"/>
        <v>1478.2172267444244</v>
      </c>
      <c r="AH193" s="327">
        <f t="shared" si="102"/>
        <v>7.8126919541528599</v>
      </c>
      <c r="AI193" s="327">
        <f t="shared" si="103"/>
        <v>48.52384807479941</v>
      </c>
      <c r="AJ193" s="327">
        <f t="shared" si="104"/>
        <v>2.3817850213786356</v>
      </c>
      <c r="AK193" s="336">
        <f t="shared" si="105"/>
        <v>21.088041058403583</v>
      </c>
      <c r="AL193" s="42">
        <f t="shared" si="106"/>
        <v>15.755867318985546</v>
      </c>
      <c r="BA193" s="8"/>
    </row>
    <row r="194" spans="1:53" x14ac:dyDescent="0.25">
      <c r="A194" s="115"/>
      <c r="B194" s="327">
        <f t="shared" si="79"/>
        <v>1488.7599230295993</v>
      </c>
      <c r="C194" s="327">
        <f t="shared" si="80"/>
        <v>1478.2172267444244</v>
      </c>
      <c r="D194" s="327">
        <f t="shared" si="81"/>
        <v>7.8126919541528599</v>
      </c>
      <c r="E194" s="327">
        <f t="shared" si="72"/>
        <v>65.422872022470997</v>
      </c>
      <c r="F194" s="327">
        <f t="shared" si="82"/>
        <v>65.36893441827857</v>
      </c>
      <c r="G194" s="327">
        <f t="shared" si="83"/>
        <v>3206.5993032037827</v>
      </c>
      <c r="H194" s="312">
        <f t="shared" si="73"/>
        <v>0.02</v>
      </c>
      <c r="I194" s="327">
        <f t="shared" si="84"/>
        <v>6.3256177711049988</v>
      </c>
      <c r="J194" s="327">
        <f t="shared" si="74"/>
        <v>1848</v>
      </c>
      <c r="K194" s="334">
        <f t="shared" si="85"/>
        <v>-1</v>
      </c>
      <c r="L194" s="322">
        <f t="shared" si="86"/>
        <v>7.7926919541528603</v>
      </c>
      <c r="M194" s="322">
        <f t="shared" si="87"/>
        <v>7.8026919541528601</v>
      </c>
      <c r="N194" s="327">
        <f t="shared" si="88"/>
        <v>-5.2149542861055664E-2</v>
      </c>
      <c r="O194" s="327">
        <f t="shared" si="75"/>
        <v>0.40624551280269117</v>
      </c>
      <c r="P194" s="331">
        <f t="shared" si="77"/>
        <v>201.75659284508015</v>
      </c>
      <c r="Q194" s="327">
        <f t="shared" si="89"/>
        <v>1373.0803735498116</v>
      </c>
      <c r="R194" s="276">
        <f>IF(H194&gt;0, rate1(1,$L$52,$L$51,$L$54,L194,$L$53,$L$50,P194),"")</f>
        <v>2301.3839871237469</v>
      </c>
      <c r="S194" s="322">
        <f t="shared" si="90"/>
        <v>1.4686499523190382</v>
      </c>
      <c r="T194" s="322">
        <f t="shared" si="91"/>
        <v>0.11127610832563221</v>
      </c>
      <c r="U194" s="327">
        <f t="shared" si="76"/>
        <v>7.8126919541528599</v>
      </c>
      <c r="V194" s="335">
        <f t="shared" si="92"/>
        <v>7.8126919541528599</v>
      </c>
      <c r="W194" s="327">
        <f t="shared" si="93"/>
        <v>1.7977905659876114E-3</v>
      </c>
      <c r="X194" s="327">
        <f t="shared" si="94"/>
        <v>1382.8149196796335</v>
      </c>
      <c r="Y194" s="327">
        <f t="shared" si="78"/>
        <v>202.27407035299896</v>
      </c>
      <c r="Z194" s="107">
        <f>IF(H194&gt;0, rate1(1,$L$52,$L$51,$L$54,U194,$L$53,$L$50,Y194),"")</f>
        <v>2302.1229690540586</v>
      </c>
      <c r="AA194" s="335">
        <f t="shared" si="95"/>
        <v>1.4785872662277835</v>
      </c>
      <c r="AB194" s="335">
        <f t="shared" si="96"/>
        <v>-3.7564529874724111E-3</v>
      </c>
      <c r="AC194" s="327">
        <f t="shared" si="97"/>
        <v>0.11127610832563221</v>
      </c>
      <c r="AD194" s="327">
        <f t="shared" si="98"/>
        <v>-0.17973310085102107</v>
      </c>
      <c r="AE194" s="327">
        <f t="shared" si="99"/>
        <v>-6.3799242336262984E-3</v>
      </c>
      <c r="AF194" s="327">
        <f t="shared" si="100"/>
        <v>1488.5964973784126</v>
      </c>
      <c r="AG194" s="327">
        <f t="shared" si="101"/>
        <v>1478.1059506360987</v>
      </c>
      <c r="AH194" s="327">
        <f t="shared" si="102"/>
        <v>7.7933452239694487</v>
      </c>
      <c r="AI194" s="327">
        <f t="shared" si="103"/>
        <v>48.351821750834496</v>
      </c>
      <c r="AJ194" s="327">
        <f t="shared" si="104"/>
        <v>2.3952160829760896</v>
      </c>
      <c r="AK194" s="336">
        <f t="shared" si="105"/>
        <v>21.244539507540232</v>
      </c>
      <c r="AL194" s="42">
        <f t="shared" si="106"/>
        <v>15.845539390227776</v>
      </c>
      <c r="BA194" s="8"/>
    </row>
    <row r="195" spans="1:53" x14ac:dyDescent="0.25">
      <c r="A195" s="115"/>
      <c r="B195" s="327">
        <f t="shared" si="79"/>
        <v>1488.5964973784126</v>
      </c>
      <c r="C195" s="327">
        <f t="shared" si="80"/>
        <v>1478.1059506360987</v>
      </c>
      <c r="D195" s="327">
        <f t="shared" si="81"/>
        <v>7.7933452239694487</v>
      </c>
      <c r="E195" s="327">
        <f t="shared" si="72"/>
        <v>65.52990224322258</v>
      </c>
      <c r="F195" s="327">
        <f t="shared" si="82"/>
        <v>65.476387132846781</v>
      </c>
      <c r="G195" s="327">
        <f t="shared" si="83"/>
        <v>3188.007442415771</v>
      </c>
      <c r="H195" s="312">
        <f t="shared" si="73"/>
        <v>0.02</v>
      </c>
      <c r="I195" s="327">
        <f t="shared" si="84"/>
        <v>6.2943280453883288</v>
      </c>
      <c r="J195" s="327">
        <f t="shared" si="74"/>
        <v>1848</v>
      </c>
      <c r="K195" s="334">
        <f t="shared" si="85"/>
        <v>-1</v>
      </c>
      <c r="L195" s="322">
        <f t="shared" si="86"/>
        <v>7.7733452239694492</v>
      </c>
      <c r="M195" s="322">
        <f t="shared" si="87"/>
        <v>7.7833452239694489</v>
      </c>
      <c r="N195" s="327">
        <f t="shared" si="88"/>
        <v>-5.2024759203423088E-2</v>
      </c>
      <c r="O195" s="327">
        <f t="shared" si="75"/>
        <v>0.40070605550122518</v>
      </c>
      <c r="P195" s="331">
        <f t="shared" si="77"/>
        <v>201.08910397042737</v>
      </c>
      <c r="Q195" s="327">
        <f t="shared" si="89"/>
        <v>1354.4102898200381</v>
      </c>
      <c r="R195" s="276">
        <f>IF(H195&gt;0, rate1(1,$L$52,$L$51,$L$54,L195,$L$53,$L$50,P195),"")</f>
        <v>2300.4258718295137</v>
      </c>
      <c r="S195" s="322">
        <f t="shared" si="90"/>
        <v>1.4693190039364317</v>
      </c>
      <c r="T195" s="322">
        <f t="shared" si="91"/>
        <v>0.11085159298273321</v>
      </c>
      <c r="U195" s="327">
        <f t="shared" si="76"/>
        <v>7.7933452239694487</v>
      </c>
      <c r="V195" s="335">
        <f t="shared" si="92"/>
        <v>7.7933452239694487</v>
      </c>
      <c r="W195" s="327">
        <f t="shared" si="93"/>
        <v>1.7888977786206794E-3</v>
      </c>
      <c r="X195" s="327">
        <f t="shared" si="94"/>
        <v>1364.1441265221833</v>
      </c>
      <c r="Y195" s="327">
        <f t="shared" si="78"/>
        <v>201.60615230190655</v>
      </c>
      <c r="Z195" s="107">
        <f>IF(H195&gt;0, rate1(1,$L$52,$L$51,$L$54,U195,$L$53,$L$50,Y195),"")</f>
        <v>2301.1685286522534</v>
      </c>
      <c r="AA195" s="335">
        <f t="shared" si="95"/>
        <v>1.4794010615686908</v>
      </c>
      <c r="AB195" s="335">
        <f t="shared" si="96"/>
        <v>-3.7315265276365223E-3</v>
      </c>
      <c r="AC195" s="327">
        <f t="shared" si="97"/>
        <v>0.11085159298273321</v>
      </c>
      <c r="AD195" s="327">
        <f t="shared" si="98"/>
        <v>-0.18042140362489242</v>
      </c>
      <c r="AE195" s="327">
        <f t="shared" si="99"/>
        <v>-6.1973609758454364E-3</v>
      </c>
      <c r="AF195" s="327">
        <f t="shared" si="100"/>
        <v>1488.4336210262263</v>
      </c>
      <c r="AG195" s="327">
        <f t="shared" si="101"/>
        <v>1477.9950990431159</v>
      </c>
      <c r="AH195" s="327">
        <f t="shared" si="102"/>
        <v>7.7739968123753167</v>
      </c>
      <c r="AI195" s="327">
        <f t="shared" si="103"/>
        <v>48.187422311753807</v>
      </c>
      <c r="AJ195" s="327">
        <f t="shared" si="104"/>
        <v>2.4086014780626877</v>
      </c>
      <c r="AK195" s="336">
        <f t="shared" si="105"/>
        <v>21.399584425475091</v>
      </c>
      <c r="AL195" s="42">
        <f t="shared" si="106"/>
        <v>15.934893556823319</v>
      </c>
      <c r="BA195" s="8"/>
    </row>
    <row r="196" spans="1:53" x14ac:dyDescent="0.25">
      <c r="A196" s="115"/>
      <c r="B196" s="327">
        <f t="shared" si="79"/>
        <v>1488.4336210262263</v>
      </c>
      <c r="C196" s="327">
        <f t="shared" si="80"/>
        <v>1477.9950990431159</v>
      </c>
      <c r="D196" s="327">
        <f t="shared" si="81"/>
        <v>7.7739968123753167</v>
      </c>
      <c r="E196" s="327">
        <f t="shared" si="72"/>
        <v>65.636130096080549</v>
      </c>
      <c r="F196" s="327">
        <f t="shared" si="82"/>
        <v>65.583016169651557</v>
      </c>
      <c r="G196" s="327">
        <f t="shared" si="83"/>
        <v>3169.4140736956278</v>
      </c>
      <c r="H196" s="312">
        <f t="shared" si="73"/>
        <v>0.02</v>
      </c>
      <c r="I196" s="327">
        <f t="shared" si="84"/>
        <v>6.2631131898662256</v>
      </c>
      <c r="J196" s="327">
        <f t="shared" si="74"/>
        <v>1848</v>
      </c>
      <c r="K196" s="334">
        <f t="shared" si="85"/>
        <v>-1</v>
      </c>
      <c r="L196" s="322">
        <f t="shared" si="86"/>
        <v>7.7539968123753171</v>
      </c>
      <c r="M196" s="322">
        <f t="shared" si="87"/>
        <v>7.7639968123753169</v>
      </c>
      <c r="N196" s="327">
        <f t="shared" si="88"/>
        <v>-5.1899942649374253E-2</v>
      </c>
      <c r="O196" s="327">
        <f t="shared" si="75"/>
        <v>0.39518574758060443</v>
      </c>
      <c r="P196" s="331">
        <f t="shared" si="77"/>
        <v>200.4221114399929</v>
      </c>
      <c r="Q196" s="327">
        <f t="shared" si="89"/>
        <v>1335.739926771907</v>
      </c>
      <c r="R196" s="276">
        <f>IF(H196&gt;0, rate1(1,$L$52,$L$51,$L$54,L196,$L$53,$L$50,P196),"")</f>
        <v>2299.4628987785713</v>
      </c>
      <c r="S196" s="322">
        <f t="shared" si="90"/>
        <v>1.4699217892059284</v>
      </c>
      <c r="T196" s="322">
        <f t="shared" si="91"/>
        <v>0.1104437883952445</v>
      </c>
      <c r="U196" s="327">
        <f t="shared" si="76"/>
        <v>7.7739968123753167</v>
      </c>
      <c r="V196" s="335">
        <f t="shared" si="92"/>
        <v>7.7739968123753167</v>
      </c>
      <c r="W196" s="327">
        <f t="shared" si="93"/>
        <v>1.7800262699836367E-3</v>
      </c>
      <c r="X196" s="327">
        <f t="shared" si="94"/>
        <v>1345.4714083141384</v>
      </c>
      <c r="Y196" s="327">
        <f t="shared" si="78"/>
        <v>200.93872984612122</v>
      </c>
      <c r="Z196" s="107">
        <f>IF(H196&gt;0, rate1(1,$L$52,$L$51,$L$54,U196,$L$53,$L$50,Y196),"")</f>
        <v>2300.2092564964382</v>
      </c>
      <c r="AA196" s="335">
        <f t="shared" si="95"/>
        <v>1.4801504215452326</v>
      </c>
      <c r="AB196" s="335">
        <f t="shared" si="96"/>
        <v>-3.7072262984901893E-3</v>
      </c>
      <c r="AC196" s="327">
        <f t="shared" si="97"/>
        <v>0.1104437883952445</v>
      </c>
      <c r="AD196" s="327">
        <f t="shared" si="98"/>
        <v>-0.18108759479008565</v>
      </c>
      <c r="AE196" s="327">
        <f t="shared" si="99"/>
        <v>-6.020832075617163E-3</v>
      </c>
      <c r="AF196" s="327">
        <f t="shared" si="100"/>
        <v>1488.2712772951818</v>
      </c>
      <c r="AG196" s="327">
        <f t="shared" si="101"/>
        <v>1477.8846552547207</v>
      </c>
      <c r="AH196" s="327">
        <f t="shared" si="102"/>
        <v>7.754646719065045</v>
      </c>
      <c r="AI196" s="327">
        <f t="shared" si="103"/>
        <v>48.030254566799073</v>
      </c>
      <c r="AJ196" s="327">
        <f t="shared" si="104"/>
        <v>2.4219432154423539</v>
      </c>
      <c r="AK196" s="336">
        <f t="shared" si="105"/>
        <v>21.553206286435792</v>
      </c>
      <c r="AL196" s="42">
        <f t="shared" si="106"/>
        <v>16.02394391325544</v>
      </c>
      <c r="BA196" s="8"/>
    </row>
    <row r="197" spans="1:53" x14ac:dyDescent="0.25">
      <c r="A197" s="115"/>
      <c r="B197" s="327">
        <f t="shared" si="79"/>
        <v>1488.2712772951818</v>
      </c>
      <c r="C197" s="327">
        <f t="shared" si="80"/>
        <v>1477.8846552547207</v>
      </c>
      <c r="D197" s="327">
        <f t="shared" si="81"/>
        <v>7.754646719065045</v>
      </c>
      <c r="E197" s="327">
        <f t="shared" si="72"/>
        <v>65.741596011594794</v>
      </c>
      <c r="F197" s="327">
        <f t="shared" si="82"/>
        <v>65.688863053837679</v>
      </c>
      <c r="G197" s="327">
        <f t="shared" si="83"/>
        <v>3150.8223884745971</v>
      </c>
      <c r="H197" s="312">
        <f t="shared" si="73"/>
        <v>0.02</v>
      </c>
      <c r="I197" s="327">
        <f t="shared" si="84"/>
        <v>6.2319732242766799</v>
      </c>
      <c r="J197" s="327">
        <f t="shared" si="74"/>
        <v>1848</v>
      </c>
      <c r="K197" s="334">
        <f t="shared" si="85"/>
        <v>-1</v>
      </c>
      <c r="L197" s="322">
        <f t="shared" si="86"/>
        <v>7.7346467190650454</v>
      </c>
      <c r="M197" s="322">
        <f t="shared" si="87"/>
        <v>7.7446467190650452</v>
      </c>
      <c r="N197" s="327">
        <f t="shared" si="88"/>
        <v>-5.1775093191171351E-2</v>
      </c>
      <c r="O197" s="327">
        <f t="shared" si="75"/>
        <v>0.3896839942724426</v>
      </c>
      <c r="P197" s="331">
        <f t="shared" si="77"/>
        <v>199.75561630824038</v>
      </c>
      <c r="Q197" s="327">
        <f t="shared" si="89"/>
        <v>1317.0724078085454</v>
      </c>
      <c r="R197" s="276">
        <f>IF(H197&gt;0, rate1(1,$L$52,$L$51,$L$54,L197,$L$53,$L$50,P197),"")</f>
        <v>2298.4950332746553</v>
      </c>
      <c r="S197" s="322">
        <f t="shared" si="90"/>
        <v>1.4704610110717748</v>
      </c>
      <c r="T197" s="322">
        <f t="shared" si="91"/>
        <v>0.11005182570436724</v>
      </c>
      <c r="U197" s="327">
        <f t="shared" si="76"/>
        <v>7.754646719065045</v>
      </c>
      <c r="V197" s="335">
        <f t="shared" si="92"/>
        <v>7.754646719065045</v>
      </c>
      <c r="W197" s="327">
        <f t="shared" si="93"/>
        <v>1.7711760456329273E-3</v>
      </c>
      <c r="X197" s="327">
        <f t="shared" si="94"/>
        <v>1326.799977577964</v>
      </c>
      <c r="Y197" s="327">
        <f t="shared" si="78"/>
        <v>200.2718040369549</v>
      </c>
      <c r="Z197" s="107">
        <f>IF(H197&gt;0, rate1(1,$L$52,$L$51,$L$54,U197,$L$53,$L$50,Y197),"")</f>
        <v>2299.2451181268243</v>
      </c>
      <c r="AA197" s="335">
        <f t="shared" si="95"/>
        <v>1.4808382181102895</v>
      </c>
      <c r="AB197" s="335">
        <f t="shared" si="96"/>
        <v>-3.6835176134578265E-3</v>
      </c>
      <c r="AC197" s="327">
        <f t="shared" si="97"/>
        <v>0.11005182570436724</v>
      </c>
      <c r="AD197" s="327">
        <f t="shared" si="98"/>
        <v>-0.18173255983709075</v>
      </c>
      <c r="AE197" s="327">
        <f t="shared" si="99"/>
        <v>-5.8501394654836107E-3</v>
      </c>
      <c r="AF197" s="327">
        <f t="shared" si="100"/>
        <v>1488.1094503762863</v>
      </c>
      <c r="AG197" s="327">
        <f t="shared" si="101"/>
        <v>1477.7746034290162</v>
      </c>
      <c r="AH197" s="327">
        <f t="shared" si="102"/>
        <v>7.7352949437317875</v>
      </c>
      <c r="AI197" s="327">
        <f t="shared" si="103"/>
        <v>47.879949319523611</v>
      </c>
      <c r="AJ197" s="327">
        <f t="shared" si="104"/>
        <v>2.4352432013644436</v>
      </c>
      <c r="AK197" s="336">
        <f t="shared" si="105"/>
        <v>21.705434051222987</v>
      </c>
      <c r="AL197" s="42">
        <f t="shared" si="106"/>
        <v>16.112703823694886</v>
      </c>
      <c r="BA197" s="8"/>
    </row>
    <row r="198" spans="1:53" x14ac:dyDescent="0.25">
      <c r="A198" s="115"/>
      <c r="B198" s="327">
        <f t="shared" si="79"/>
        <v>1488.1094503762863</v>
      </c>
      <c r="C198" s="327">
        <f t="shared" si="80"/>
        <v>1477.7746034290162</v>
      </c>
      <c r="D198" s="327">
        <f t="shared" si="81"/>
        <v>7.7352949437317875</v>
      </c>
      <c r="E198" s="327">
        <f t="shared" si="72"/>
        <v>65.846338374667951</v>
      </c>
      <c r="F198" s="327">
        <f t="shared" si="82"/>
        <v>65.79396719313138</v>
      </c>
      <c r="G198" s="327">
        <f t="shared" si="83"/>
        <v>3132.2354070990364</v>
      </c>
      <c r="H198" s="312">
        <f t="shared" si="73"/>
        <v>0.02</v>
      </c>
      <c r="I198" s="327">
        <f t="shared" si="84"/>
        <v>6.2009081683620479</v>
      </c>
      <c r="J198" s="327">
        <f t="shared" si="74"/>
        <v>1848</v>
      </c>
      <c r="K198" s="334">
        <f t="shared" si="85"/>
        <v>-1</v>
      </c>
      <c r="L198" s="322">
        <f t="shared" si="86"/>
        <v>7.7152949437317879</v>
      </c>
      <c r="M198" s="322">
        <f t="shared" si="87"/>
        <v>7.7252949437317877</v>
      </c>
      <c r="N198" s="327">
        <f t="shared" si="88"/>
        <v>-5.1650210821087228E-2</v>
      </c>
      <c r="O198" s="327">
        <f t="shared" si="75"/>
        <v>0.38420023222015692</v>
      </c>
      <c r="P198" s="331">
        <f t="shared" si="77"/>
        <v>199.08961963394495</v>
      </c>
      <c r="Q198" s="327">
        <f t="shared" si="89"/>
        <v>1298.4106899581102</v>
      </c>
      <c r="R198" s="276">
        <f>IF(H198&gt;0, rate1(1,$L$52,$L$51,$L$54,L198,$L$53,$L$50,P198),"")</f>
        <v>2297.5222403039193</v>
      </c>
      <c r="S198" s="322">
        <f t="shared" si="90"/>
        <v>1.4709392453439267</v>
      </c>
      <c r="T198" s="322">
        <f t="shared" si="91"/>
        <v>0.10967489189262004</v>
      </c>
      <c r="U198" s="327">
        <f t="shared" si="76"/>
        <v>7.7352949437317875</v>
      </c>
      <c r="V198" s="335">
        <f t="shared" si="92"/>
        <v>7.7352949437317875</v>
      </c>
      <c r="W198" s="327">
        <f t="shared" si="93"/>
        <v>1.7623471112244715E-3</v>
      </c>
      <c r="X198" s="327">
        <f t="shared" si="94"/>
        <v>1308.1328746631871</v>
      </c>
      <c r="Y198" s="327">
        <f t="shared" si="78"/>
        <v>199.60537593000984</v>
      </c>
      <c r="Z198" s="107">
        <f>IF(H198&gt;0, rate1(1,$L$52,$L$51,$L$54,U198,$L$53,$L$50,Y198),"")</f>
        <v>2298.2760787686484</v>
      </c>
      <c r="AA198" s="335">
        <f t="shared" si="95"/>
        <v>1.4814671988782049</v>
      </c>
      <c r="AB198" s="335">
        <f t="shared" si="96"/>
        <v>-3.6603679655242442E-3</v>
      </c>
      <c r="AC198" s="327">
        <f t="shared" si="97"/>
        <v>0.10967489189262004</v>
      </c>
      <c r="AD198" s="327">
        <f t="shared" si="98"/>
        <v>-0.18235714350720766</v>
      </c>
      <c r="AE198" s="327">
        <f t="shared" si="99"/>
        <v>-5.6850953488733324E-3</v>
      </c>
      <c r="AF198" s="327">
        <f t="shared" si="100"/>
        <v>1487.9481252735725</v>
      </c>
      <c r="AG198" s="327">
        <f t="shared" si="101"/>
        <v>1477.6649285371236</v>
      </c>
      <c r="AH198" s="327">
        <f t="shared" si="102"/>
        <v>7.7159414860674191</v>
      </c>
      <c r="AI198" s="327">
        <f t="shared" si="103"/>
        <v>47.736161142932879</v>
      </c>
      <c r="AJ198" s="327">
        <f t="shared" si="104"/>
        <v>2.4485032461263696</v>
      </c>
      <c r="AK198" s="336">
        <f t="shared" si="105"/>
        <v>21.85629526749797</v>
      </c>
      <c r="AL198" s="42">
        <f t="shared" si="106"/>
        <v>16.201185970037365</v>
      </c>
      <c r="BA198" s="8"/>
    </row>
    <row r="199" spans="1:53" x14ac:dyDescent="0.25">
      <c r="A199" s="115"/>
      <c r="B199" s="327">
        <f t="shared" si="79"/>
        <v>1487.9481252735725</v>
      </c>
      <c r="C199" s="327">
        <f t="shared" si="80"/>
        <v>1477.6649285371236</v>
      </c>
      <c r="D199" s="327">
        <f t="shared" si="81"/>
        <v>7.7159414860674191</v>
      </c>
      <c r="E199" s="327">
        <f t="shared" si="72"/>
        <v>65.950393655880688</v>
      </c>
      <c r="F199" s="327">
        <f t="shared" si="82"/>
        <v>65.89836601527432</v>
      </c>
      <c r="G199" s="327">
        <f t="shared" si="83"/>
        <v>3113.6559898731243</v>
      </c>
      <c r="H199" s="312">
        <f t="shared" si="73"/>
        <v>0.02</v>
      </c>
      <c r="I199" s="327">
        <f t="shared" si="84"/>
        <v>6.1699180418693231</v>
      </c>
      <c r="J199" s="327">
        <f t="shared" si="74"/>
        <v>1848</v>
      </c>
      <c r="K199" s="334">
        <f t="shared" si="85"/>
        <v>-1</v>
      </c>
      <c r="L199" s="322">
        <f t="shared" si="86"/>
        <v>7.6959414860674196</v>
      </c>
      <c r="M199" s="322">
        <f t="shared" si="87"/>
        <v>7.7059414860674194</v>
      </c>
      <c r="N199" s="327">
        <f t="shared" si="88"/>
        <v>-5.1525295531394733E-2</v>
      </c>
      <c r="O199" s="327">
        <f t="shared" si="75"/>
        <v>0.37873392741634554</v>
      </c>
      <c r="P199" s="331">
        <f t="shared" si="77"/>
        <v>198.42412248022814</v>
      </c>
      <c r="Q199" s="327">
        <f t="shared" si="89"/>
        <v>1279.7575745122681</v>
      </c>
      <c r="R199" s="276">
        <f>IF(H199&gt;0, rate1(1,$L$52,$L$51,$L$54,L199,$L$53,$L$50,P199),"")</f>
        <v>2296.5444845314159</v>
      </c>
      <c r="S199" s="322">
        <f t="shared" si="90"/>
        <v>1.4713589489768268</v>
      </c>
      <c r="T199" s="322">
        <f t="shared" si="91"/>
        <v>0.10931222509563056</v>
      </c>
      <c r="U199" s="327">
        <f t="shared" si="76"/>
        <v>7.7159414860674191</v>
      </c>
      <c r="V199" s="335">
        <f t="shared" si="92"/>
        <v>7.7159414860674191</v>
      </c>
      <c r="W199" s="327">
        <f t="shared" si="93"/>
        <v>1.7535394723395825E-3</v>
      </c>
      <c r="X199" s="327">
        <f t="shared" si="94"/>
        <v>1289.4729788594896</v>
      </c>
      <c r="Y199" s="327">
        <f t="shared" si="78"/>
        <v>198.93944658521298</v>
      </c>
      <c r="Z199" s="107">
        <f>IF(H199&gt;0, rate1(1,$L$52,$L$51,$L$54,U199,$L$53,$L$50,Y199),"")</f>
        <v>2297.3021033286941</v>
      </c>
      <c r="AA199" s="335">
        <f t="shared" si="95"/>
        <v>1.4820399960822583</v>
      </c>
      <c r="AB199" s="335">
        <f t="shared" si="96"/>
        <v>-3.6377468396633782E-3</v>
      </c>
      <c r="AC199" s="327">
        <f t="shared" si="97"/>
        <v>0.10931222509563056</v>
      </c>
      <c r="AD199" s="327">
        <f t="shared" si="98"/>
        <v>-0.1829621525177374</v>
      </c>
      <c r="AE199" s="327">
        <f t="shared" si="99"/>
        <v>-5.525521490492011E-3</v>
      </c>
      <c r="AF199" s="327">
        <f t="shared" si="100"/>
        <v>1487.7872877529455</v>
      </c>
      <c r="AG199" s="327">
        <f t="shared" si="101"/>
        <v>1477.555616312028</v>
      </c>
      <c r="AH199" s="327">
        <f t="shared" si="102"/>
        <v>7.6965863457627757</v>
      </c>
      <c r="AI199" s="327">
        <f t="shared" si="103"/>
        <v>47.598566381758758</v>
      </c>
      <c r="AJ199" s="327">
        <f t="shared" si="104"/>
        <v>2.4617250701213025</v>
      </c>
      <c r="AK199" s="336">
        <f t="shared" si="105"/>
        <v>22.00581616162885</v>
      </c>
      <c r="AL199" s="42">
        <f t="shared" si="106"/>
        <v>16.289402395829505</v>
      </c>
      <c r="BA199" s="8"/>
    </row>
    <row r="200" spans="1:53" x14ac:dyDescent="0.25">
      <c r="A200" s="115"/>
      <c r="B200" s="327">
        <f t="shared" si="79"/>
        <v>1487.7872877529455</v>
      </c>
      <c r="C200" s="327">
        <f t="shared" si="80"/>
        <v>1477.555616312028</v>
      </c>
      <c r="D200" s="327">
        <f t="shared" si="81"/>
        <v>7.6965863457627757</v>
      </c>
      <c r="E200" s="327">
        <f t="shared" si="72"/>
        <v>66.053796531839566</v>
      </c>
      <c r="F200" s="327">
        <f t="shared" si="82"/>
        <v>66.002095093860135</v>
      </c>
      <c r="G200" s="327">
        <f t="shared" si="83"/>
        <v>3095.0868472053262</v>
      </c>
      <c r="H200" s="312">
        <f t="shared" si="73"/>
        <v>0.02</v>
      </c>
      <c r="I200" s="327">
        <f t="shared" si="84"/>
        <v>6.1390028645505481</v>
      </c>
      <c r="J200" s="327">
        <f t="shared" si="74"/>
        <v>1848</v>
      </c>
      <c r="K200" s="334">
        <f t="shared" si="85"/>
        <v>-1</v>
      </c>
      <c r="L200" s="322">
        <f t="shared" si="86"/>
        <v>7.6765863457627761</v>
      </c>
      <c r="M200" s="322">
        <f t="shared" si="87"/>
        <v>7.6865863457627759</v>
      </c>
      <c r="N200" s="327">
        <f t="shared" si="88"/>
        <v>-5.1400347314316974E-2</v>
      </c>
      <c r="O200" s="327">
        <f t="shared" si="75"/>
        <v>0.37328457331655307</v>
      </c>
      <c r="P200" s="331">
        <f t="shared" si="77"/>
        <v>197.75912591459547</v>
      </c>
      <c r="Q200" s="327">
        <f t="shared" si="89"/>
        <v>1261.1157168098325</v>
      </c>
      <c r="R200" s="276">
        <f>IF(H200&gt;0, rate1(1,$L$52,$L$51,$L$54,L200,$L$53,$L$50,P200),"")</f>
        <v>2295.5617302975415</v>
      </c>
      <c r="S200" s="322">
        <f t="shared" si="90"/>
        <v>1.4717224676608116</v>
      </c>
      <c r="T200" s="322">
        <f t="shared" si="91"/>
        <v>0.10896311038395567</v>
      </c>
      <c r="U200" s="327">
        <f t="shared" si="76"/>
        <v>7.6965863457627757</v>
      </c>
      <c r="V200" s="335">
        <f t="shared" si="92"/>
        <v>7.6965863457627757</v>
      </c>
      <c r="W200" s="327">
        <f t="shared" si="93"/>
        <v>1.7447531345951006E-3</v>
      </c>
      <c r="X200" s="327">
        <f t="shared" si="94"/>
        <v>1270.8230186078013</v>
      </c>
      <c r="Y200" s="327">
        <f t="shared" si="78"/>
        <v>198.27401706685339</v>
      </c>
      <c r="Z200" s="107">
        <f>IF(H200&gt;0, rate1(1,$L$52,$L$51,$L$54,U200,$L$53,$L$50,Y200),"")</f>
        <v>2296.3231563917648</v>
      </c>
      <c r="AA200" s="335">
        <f t="shared" si="95"/>
        <v>1.4825591348509852</v>
      </c>
      <c r="AB200" s="335">
        <f t="shared" si="96"/>
        <v>-3.615625544284603E-3</v>
      </c>
      <c r="AC200" s="327">
        <f t="shared" si="97"/>
        <v>0.10896311038395567</v>
      </c>
      <c r="AD200" s="327">
        <f t="shared" si="98"/>
        <v>-0.18354835805921441</v>
      </c>
      <c r="AE200" s="327">
        <f t="shared" si="99"/>
        <v>-5.3712485672191964E-3</v>
      </c>
      <c r="AF200" s="327">
        <f t="shared" si="100"/>
        <v>1487.6269242952474</v>
      </c>
      <c r="AG200" s="327">
        <f t="shared" si="101"/>
        <v>1477.446653201644</v>
      </c>
      <c r="AH200" s="327">
        <f t="shared" si="102"/>
        <v>7.6772295225071288</v>
      </c>
      <c r="AI200" s="327">
        <f t="shared" si="103"/>
        <v>47.466861355034133</v>
      </c>
      <c r="AJ200" s="327">
        <f t="shared" si="104"/>
        <v>2.4749103093865896</v>
      </c>
      <c r="AK200" s="336">
        <f t="shared" si="105"/>
        <v>22.154021722952788</v>
      </c>
      <c r="AL200" s="42">
        <f t="shared" si="106"/>
        <v>16.377364546502996</v>
      </c>
      <c r="BA200" s="8"/>
    </row>
    <row r="201" spans="1:53" x14ac:dyDescent="0.25">
      <c r="A201" s="115"/>
      <c r="B201" s="327">
        <f t="shared" si="79"/>
        <v>1487.6269242952474</v>
      </c>
      <c r="C201" s="327">
        <f t="shared" si="80"/>
        <v>1477.446653201644</v>
      </c>
      <c r="D201" s="327">
        <f t="shared" si="81"/>
        <v>7.6772295225071288</v>
      </c>
      <c r="E201" s="327">
        <f t="shared" si="72"/>
        <v>66.156579995639333</v>
      </c>
      <c r="F201" s="327">
        <f t="shared" si="82"/>
        <v>66.10518826373945</v>
      </c>
      <c r="G201" s="327">
        <f t="shared" si="83"/>
        <v>3076.5305489458237</v>
      </c>
      <c r="H201" s="312">
        <f t="shared" si="73"/>
        <v>0.02</v>
      </c>
      <c r="I201" s="327">
        <f t="shared" si="84"/>
        <v>6.1081626561619942</v>
      </c>
      <c r="J201" s="327">
        <f t="shared" si="74"/>
        <v>1848</v>
      </c>
      <c r="K201" s="334">
        <f t="shared" si="85"/>
        <v>-1</v>
      </c>
      <c r="L201" s="322">
        <f t="shared" si="86"/>
        <v>7.6572295225071292</v>
      </c>
      <c r="M201" s="322">
        <f t="shared" si="87"/>
        <v>7.667229522507129</v>
      </c>
      <c r="N201" s="327">
        <f t="shared" si="88"/>
        <v>-5.1275366162123248E-2</v>
      </c>
      <c r="O201" s="327">
        <f t="shared" si="75"/>
        <v>0.36785168911139771</v>
      </c>
      <c r="P201" s="331">
        <f t="shared" si="77"/>
        <v>197.0946310089484</v>
      </c>
      <c r="Q201" s="327">
        <f t="shared" si="89"/>
        <v>1242.4876352479</v>
      </c>
      <c r="R201" s="276">
        <f>IF(H201&gt;0, rate1(1,$L$52,$L$51,$L$54,L201,$L$53,$L$50,P201),"")</f>
        <v>2294.5739416143924</v>
      </c>
      <c r="S201" s="322">
        <f t="shared" si="90"/>
        <v>1.4720320427933784</v>
      </c>
      <c r="T201" s="322">
        <f t="shared" si="91"/>
        <v>0.10862687596097773</v>
      </c>
      <c r="U201" s="327">
        <f t="shared" si="76"/>
        <v>7.6772295225071288</v>
      </c>
      <c r="V201" s="335">
        <f t="shared" si="92"/>
        <v>7.6772295225071288</v>
      </c>
      <c r="W201" s="327">
        <f t="shared" si="93"/>
        <v>1.735988103622077E-3</v>
      </c>
      <c r="X201" s="327">
        <f t="shared" si="94"/>
        <v>1252.1855808972127</v>
      </c>
      <c r="Y201" s="327">
        <f t="shared" si="78"/>
        <v>197.60908844359423</v>
      </c>
      <c r="Z201" s="107">
        <f>IF(H201&gt;0, rate1(1,$L$52,$L$51,$L$54,U201,$L$53,$L$50,Y201),"")</f>
        <v>2295.3392022170801</v>
      </c>
      <c r="AA201" s="335">
        <f t="shared" si="95"/>
        <v>1.4830270408768345</v>
      </c>
      <c r="AB201" s="335">
        <f t="shared" si="96"/>
        <v>-3.5939770586564971E-3</v>
      </c>
      <c r="AC201" s="327">
        <f t="shared" si="97"/>
        <v>0.10862687596097773</v>
      </c>
      <c r="AD201" s="327">
        <f t="shared" si="98"/>
        <v>-0.18411649808639111</v>
      </c>
      <c r="AE201" s="327">
        <f t="shared" si="99"/>
        <v>-5.2221155644181071E-3</v>
      </c>
      <c r="AF201" s="327">
        <f t="shared" si="100"/>
        <v>1487.4670220531243</v>
      </c>
      <c r="AG201" s="327">
        <f t="shared" si="101"/>
        <v>1477.3380263256831</v>
      </c>
      <c r="AH201" s="327">
        <f t="shared" si="102"/>
        <v>7.6578710159885057</v>
      </c>
      <c r="AI201" s="327">
        <f t="shared" si="103"/>
        <v>47.340760735978357</v>
      </c>
      <c r="AJ201" s="327">
        <f t="shared" si="104"/>
        <v>2.4880605207021391</v>
      </c>
      <c r="AK201" s="336">
        <f t="shared" si="105"/>
        <v>22.300935781210871</v>
      </c>
      <c r="AL201" s="42">
        <f t="shared" si="106"/>
        <v>16.465083306287099</v>
      </c>
      <c r="BA201" s="8"/>
    </row>
    <row r="202" spans="1:53" x14ac:dyDescent="0.25">
      <c r="A202" s="115"/>
      <c r="B202" s="327">
        <f t="shared" si="79"/>
        <v>1487.4670220531243</v>
      </c>
      <c r="C202" s="327">
        <f t="shared" si="80"/>
        <v>1477.3380263256831</v>
      </c>
      <c r="D202" s="327">
        <f t="shared" si="81"/>
        <v>7.6578710159885057</v>
      </c>
      <c r="E202" s="327">
        <f t="shared" si="72"/>
        <v>66.258775458424637</v>
      </c>
      <c r="F202" s="327">
        <f t="shared" si="82"/>
        <v>66.207677727031978</v>
      </c>
      <c r="G202" s="327">
        <f t="shared" si="83"/>
        <v>3057.9895329956757</v>
      </c>
      <c r="H202" s="312">
        <f t="shared" si="73"/>
        <v>0.02</v>
      </c>
      <c r="I202" s="327">
        <f t="shared" si="84"/>
        <v>6.0773974364647074</v>
      </c>
      <c r="J202" s="327">
        <f t="shared" si="74"/>
        <v>1848</v>
      </c>
      <c r="K202" s="334">
        <f t="shared" si="85"/>
        <v>-1</v>
      </c>
      <c r="L202" s="322">
        <f t="shared" si="86"/>
        <v>7.6378710159885062</v>
      </c>
      <c r="M202" s="322">
        <f t="shared" si="87"/>
        <v>7.6478710159885059</v>
      </c>
      <c r="N202" s="327">
        <f t="shared" si="88"/>
        <v>-5.1150352067022453E-2</v>
      </c>
      <c r="O202" s="327">
        <f t="shared" si="75"/>
        <v>0.36243481814113943</v>
      </c>
      <c r="P202" s="331">
        <f t="shared" si="77"/>
        <v>196.43063883962571</v>
      </c>
      <c r="Q202" s="327">
        <f t="shared" si="89"/>
        <v>1223.8757195973026</v>
      </c>
      <c r="R202" s="276">
        <f>IF(H202&gt;0, rate1(1,$L$52,$L$51,$L$54,L202,$L$53,$L$50,P202),"")</f>
        <v>2293.5810821621199</v>
      </c>
      <c r="S202" s="322">
        <f t="shared" si="90"/>
        <v>1.4722898178942347</v>
      </c>
      <c r="T202" s="322">
        <f t="shared" si="91"/>
        <v>0.1083028897279279</v>
      </c>
      <c r="U202" s="327">
        <f t="shared" si="76"/>
        <v>7.6578710159885057</v>
      </c>
      <c r="V202" s="335">
        <f t="shared" si="92"/>
        <v>7.6578710159885057</v>
      </c>
      <c r="W202" s="327">
        <f t="shared" si="93"/>
        <v>1.7272443850266939E-3</v>
      </c>
      <c r="X202" s="327">
        <f t="shared" si="94"/>
        <v>1233.5631199288055</v>
      </c>
      <c r="Y202" s="327">
        <f t="shared" si="78"/>
        <v>196.94466178851371</v>
      </c>
      <c r="Z202" s="107">
        <f>IF(H202&gt;0, rate1(1,$L$52,$L$51,$L$54,U202,$L$53,$L$50,Y202),"")</f>
        <v>2294.3502047346601</v>
      </c>
      <c r="AA202" s="335">
        <f t="shared" si="95"/>
        <v>1.4834460475467424</v>
      </c>
      <c r="AB202" s="335">
        <f t="shared" si="96"/>
        <v>-3.5727758946249195E-3</v>
      </c>
      <c r="AC202" s="327">
        <f t="shared" si="97"/>
        <v>0.1083028897279279</v>
      </c>
      <c r="AD202" s="327">
        <f t="shared" si="98"/>
        <v>-0.18466727942571814</v>
      </c>
      <c r="AE202" s="327">
        <f t="shared" si="99"/>
        <v>-5.0779692457410637E-3</v>
      </c>
      <c r="AF202" s="327">
        <f t="shared" si="100"/>
        <v>1487.3075688113292</v>
      </c>
      <c r="AG202" s="327">
        <f t="shared" si="101"/>
        <v>1477.2297234359553</v>
      </c>
      <c r="AH202" s="327">
        <f t="shared" si="102"/>
        <v>7.6385108258935901</v>
      </c>
      <c r="AI202" s="327">
        <f t="shared" si="103"/>
        <v>47.219996088314701</v>
      </c>
      <c r="AJ202" s="327">
        <f t="shared" si="104"/>
        <v>2.5011771862822267</v>
      </c>
      <c r="AK202" s="336">
        <f t="shared" si="105"/>
        <v>22.446581077825442</v>
      </c>
      <c r="AL202" s="42">
        <f t="shared" si="106"/>
        <v>16.552569032127188</v>
      </c>
      <c r="BA202" s="8"/>
    </row>
    <row r="203" spans="1:53" x14ac:dyDescent="0.25">
      <c r="A203" s="115"/>
      <c r="B203" s="327">
        <f t="shared" si="79"/>
        <v>1487.3075688113292</v>
      </c>
      <c r="C203" s="327">
        <f t="shared" si="80"/>
        <v>1477.2297234359553</v>
      </c>
      <c r="D203" s="327">
        <f t="shared" si="81"/>
        <v>7.6385108258935901</v>
      </c>
      <c r="E203" s="327">
        <f t="shared" si="72"/>
        <v>66.360412842897915</v>
      </c>
      <c r="F203" s="327">
        <f t="shared" si="82"/>
        <v>66.309594150661269</v>
      </c>
      <c r="G203" s="327">
        <f t="shared" si="83"/>
        <v>3039.4661132554379</v>
      </c>
      <c r="H203" s="312">
        <f t="shared" si="73"/>
        <v>0.02</v>
      </c>
      <c r="I203" s="327">
        <f t="shared" si="84"/>
        <v>6.0467072252243721</v>
      </c>
      <c r="J203" s="327">
        <f t="shared" si="74"/>
        <v>1848</v>
      </c>
      <c r="K203" s="334">
        <f t="shared" si="85"/>
        <v>-1</v>
      </c>
      <c r="L203" s="322">
        <f t="shared" si="86"/>
        <v>7.6185108258935905</v>
      </c>
      <c r="M203" s="322">
        <f t="shared" si="87"/>
        <v>7.6285108258935903</v>
      </c>
      <c r="N203" s="327">
        <f t="shared" si="88"/>
        <v>-5.1025305021234146E-2</v>
      </c>
      <c r="O203" s="327">
        <f t="shared" si="75"/>
        <v>0.35703352643872516</v>
      </c>
      <c r="P203" s="331">
        <f t="shared" si="77"/>
        <v>195.76715048743037</v>
      </c>
      <c r="Q203" s="327">
        <f t="shared" si="89"/>
        <v>1205.2822386859202</v>
      </c>
      <c r="R203" s="276">
        <f>IF(H203&gt;0, rate1(1,$L$52,$L$51,$L$54,L203,$L$53,$L$50,P203),"")</f>
        <v>2292.5831152852102</v>
      </c>
      <c r="S203" s="322">
        <f t="shared" si="90"/>
        <v>1.4724978445151278</v>
      </c>
      <c r="T203" s="322">
        <f t="shared" si="91"/>
        <v>0.10799055617617848</v>
      </c>
      <c r="U203" s="327">
        <f t="shared" si="76"/>
        <v>7.6385108258935901</v>
      </c>
      <c r="V203" s="335">
        <f t="shared" si="92"/>
        <v>7.6385108258935901</v>
      </c>
      <c r="W203" s="327">
        <f t="shared" si="93"/>
        <v>1.7185219844328969E-3</v>
      </c>
      <c r="X203" s="327">
        <f t="shared" si="94"/>
        <v>1214.9579651148183</v>
      </c>
      <c r="Y203" s="327">
        <f t="shared" si="78"/>
        <v>196.28073817913184</v>
      </c>
      <c r="Z203" s="107">
        <f>IF(H203&gt;0, rate1(1,$L$52,$L$51,$L$54,U203,$L$53,$L$50,Y203),"")</f>
        <v>2293.3561275416473</v>
      </c>
      <c r="AA203" s="335">
        <f t="shared" si="95"/>
        <v>1.4838184025927097</v>
      </c>
      <c r="AB203" s="335">
        <f t="shared" si="96"/>
        <v>-3.5519979711883579E-3</v>
      </c>
      <c r="AC203" s="327">
        <f t="shared" si="97"/>
        <v>0.10799055617617848</v>
      </c>
      <c r="AD203" s="327">
        <f t="shared" si="98"/>
        <v>-0.18520137971482897</v>
      </c>
      <c r="AE203" s="327">
        <f t="shared" si="99"/>
        <v>-4.9386636463096658E-3</v>
      </c>
      <c r="AF203" s="327">
        <f t="shared" si="100"/>
        <v>1487.1485529501319</v>
      </c>
      <c r="AG203" s="327">
        <f t="shared" si="101"/>
        <v>1477.1217328797791</v>
      </c>
      <c r="AH203" s="327">
        <f t="shared" si="102"/>
        <v>7.6191489519079587</v>
      </c>
      <c r="AI203" s="327">
        <f t="shared" si="103"/>
        <v>47.104314542046097</v>
      </c>
      <c r="AJ203" s="327">
        <f t="shared" si="104"/>
        <v>2.514261718099462</v>
      </c>
      <c r="AK203" s="336">
        <f t="shared" si="105"/>
        <v>22.590979331611607</v>
      </c>
      <c r="AL203" s="42">
        <f t="shared" si="106"/>
        <v>16.639831584898392</v>
      </c>
      <c r="BA203" s="8"/>
    </row>
    <row r="204" spans="1:53" x14ac:dyDescent="0.25">
      <c r="A204" s="115"/>
      <c r="B204" s="327">
        <f t="shared" si="79"/>
        <v>1487.1485529501319</v>
      </c>
      <c r="C204" s="327">
        <f t="shared" si="80"/>
        <v>1477.1217328797791</v>
      </c>
      <c r="D204" s="327">
        <f t="shared" si="81"/>
        <v>7.6191489519079587</v>
      </c>
      <c r="E204" s="327">
        <f t="shared" si="72"/>
        <v>66.461520669545607</v>
      </c>
      <c r="F204" s="327">
        <f t="shared" si="82"/>
        <v>66.410966756221768</v>
      </c>
      <c r="G204" s="327">
        <f t="shared" si="83"/>
        <v>3020.9624869759764</v>
      </c>
      <c r="H204" s="312">
        <f t="shared" si="73"/>
        <v>0.02</v>
      </c>
      <c r="I204" s="327">
        <f t="shared" si="84"/>
        <v>6.0160920422117217</v>
      </c>
      <c r="J204" s="327">
        <f t="shared" si="74"/>
        <v>1848</v>
      </c>
      <c r="K204" s="334">
        <f t="shared" si="85"/>
        <v>-1</v>
      </c>
      <c r="L204" s="322">
        <f t="shared" si="86"/>
        <v>7.5991489519079591</v>
      </c>
      <c r="M204" s="322">
        <f t="shared" si="87"/>
        <v>7.6091489519079589</v>
      </c>
      <c r="N204" s="327">
        <f t="shared" si="88"/>
        <v>-5.0900225016970779E-2</v>
      </c>
      <c r="O204" s="327">
        <f t="shared" si="75"/>
        <v>0.35164740138884654</v>
      </c>
      <c r="P204" s="331">
        <f t="shared" si="77"/>
        <v>195.10416703766865</v>
      </c>
      <c r="Q204" s="327">
        <f t="shared" si="89"/>
        <v>1186.709347509744</v>
      </c>
      <c r="R204" s="276">
        <f>IF(H204&gt;0, rate1(1,$L$52,$L$51,$L$54,L204,$L$53,$L$50,P204),"")</f>
        <v>2291.5800039887436</v>
      </c>
      <c r="S204" s="322">
        <f t="shared" si="90"/>
        <v>1.4726580876938751</v>
      </c>
      <c r="T204" s="322">
        <f t="shared" si="91"/>
        <v>0.10768931356980643</v>
      </c>
      <c r="U204" s="327">
        <f t="shared" si="76"/>
        <v>7.6191489519079587</v>
      </c>
      <c r="V204" s="335">
        <f t="shared" si="92"/>
        <v>7.6191489519079587</v>
      </c>
      <c r="W204" s="327">
        <f t="shared" si="93"/>
        <v>1.7098209074468684E-3</v>
      </c>
      <c r="X204" s="327">
        <f t="shared" si="94"/>
        <v>1196.3723284760927</v>
      </c>
      <c r="Y204" s="327">
        <f t="shared" si="78"/>
        <v>195.61731869744932</v>
      </c>
      <c r="Z204" s="107">
        <f>IF(H204&gt;0, rate1(1,$L$52,$L$51,$L$54,U204,$L$53,$L$50,Y204),"")</f>
        <v>2292.3569338985958</v>
      </c>
      <c r="AA204" s="335">
        <f t="shared" si="95"/>
        <v>1.4841462743175622</v>
      </c>
      <c r="AB204" s="335">
        <f t="shared" si="96"/>
        <v>-3.5316205001411603E-3</v>
      </c>
      <c r="AC204" s="327">
        <f t="shared" si="97"/>
        <v>0.10768931356980643</v>
      </c>
      <c r="AD204" s="327">
        <f t="shared" si="98"/>
        <v>-0.18571944919154479</v>
      </c>
      <c r="AE204" s="327">
        <f t="shared" si="99"/>
        <v>-4.8040596215675338E-3</v>
      </c>
      <c r="AF204" s="327">
        <f t="shared" si="100"/>
        <v>1486.9899634115452</v>
      </c>
      <c r="AG204" s="327">
        <f t="shared" si="101"/>
        <v>1477.0140435662092</v>
      </c>
      <c r="AH204" s="327">
        <f t="shared" si="102"/>
        <v>7.5997853937154636</v>
      </c>
      <c r="AI204" s="327">
        <f t="shared" si="103"/>
        <v>46.993477592910352</v>
      </c>
      <c r="AJ204" s="327">
        <f t="shared" si="104"/>
        <v>2.5273154618752702</v>
      </c>
      <c r="AK204" s="336">
        <f t="shared" si="105"/>
        <v>22.734151299450282</v>
      </c>
      <c r="AL204" s="42">
        <f t="shared" si="106"/>
        <v>16.726880358172092</v>
      </c>
      <c r="BA204" s="8"/>
    </row>
    <row r="205" spans="1:53" x14ac:dyDescent="0.25">
      <c r="A205" s="115"/>
      <c r="B205" s="327">
        <f t="shared" si="79"/>
        <v>1486.9899634115452</v>
      </c>
      <c r="C205" s="327">
        <f t="shared" si="80"/>
        <v>1477.0140435662092</v>
      </c>
      <c r="D205" s="327">
        <f t="shared" si="81"/>
        <v>7.5997853937154636</v>
      </c>
      <c r="E205" s="327">
        <f t="shared" si="72"/>
        <v>66.562126136251166</v>
      </c>
      <c r="F205" s="327">
        <f t="shared" si="82"/>
        <v>66.511823402898386</v>
      </c>
      <c r="G205" s="327">
        <f t="shared" si="83"/>
        <v>3002.4807415648943</v>
      </c>
      <c r="H205" s="312">
        <f t="shared" si="73"/>
        <v>0.02</v>
      </c>
      <c r="I205" s="327">
        <f t="shared" si="84"/>
        <v>5.9855519072015797</v>
      </c>
      <c r="J205" s="327">
        <f t="shared" si="74"/>
        <v>1848</v>
      </c>
      <c r="K205" s="334">
        <f t="shared" si="85"/>
        <v>-1</v>
      </c>
      <c r="L205" s="322">
        <f t="shared" si="86"/>
        <v>7.579785393715464</v>
      </c>
      <c r="M205" s="322">
        <f t="shared" si="87"/>
        <v>7.5897853937154638</v>
      </c>
      <c r="N205" s="327">
        <f t="shared" si="88"/>
        <v>-5.077511204642704E-2</v>
      </c>
      <c r="O205" s="327">
        <f t="shared" si="75"/>
        <v>0.34627605049198856</v>
      </c>
      <c r="P205" s="331">
        <f t="shared" si="77"/>
        <v>194.44168958015973</v>
      </c>
      <c r="Q205" s="327">
        <f t="shared" si="89"/>
        <v>1168.1590938218915</v>
      </c>
      <c r="R205" s="276">
        <f>IF(H205&gt;0, rate1(1,$L$52,$L$51,$L$54,L205,$L$53,$L$50,P205),"")</f>
        <v>2290.5717109345483</v>
      </c>
      <c r="S205" s="322">
        <f t="shared" si="90"/>
        <v>1.4727724309926458</v>
      </c>
      <c r="T205" s="322">
        <f t="shared" si="91"/>
        <v>0.1073986313876599</v>
      </c>
      <c r="U205" s="327">
        <f t="shared" si="76"/>
        <v>7.5997853937154636</v>
      </c>
      <c r="V205" s="335">
        <f t="shared" si="92"/>
        <v>7.5997853937154636</v>
      </c>
      <c r="W205" s="327">
        <f t="shared" si="93"/>
        <v>1.7011411596996595E-3</v>
      </c>
      <c r="X205" s="327">
        <f t="shared" si="94"/>
        <v>1177.8083114916649</v>
      </c>
      <c r="Y205" s="327">
        <f t="shared" si="78"/>
        <v>194.95440442995698</v>
      </c>
      <c r="Z205" s="107">
        <f>IF(H205&gt;0, rate1(1,$L$52,$L$51,$L$54,U205,$L$53,$L$50,Y205),"")</f>
        <v>2291.3525867256672</v>
      </c>
      <c r="AA205" s="335">
        <f t="shared" si="95"/>
        <v>1.4844317574431891</v>
      </c>
      <c r="AB205" s="335">
        <f t="shared" si="96"/>
        <v>-3.5116218818481526E-3</v>
      </c>
      <c r="AC205" s="327">
        <f t="shared" si="97"/>
        <v>0.1073986313876599</v>
      </c>
      <c r="AD205" s="327">
        <f t="shared" si="98"/>
        <v>-0.18622211234526029</v>
      </c>
      <c r="AE205" s="327">
        <f t="shared" si="99"/>
        <v>-4.6740244211724725E-3</v>
      </c>
      <c r="AF205" s="327">
        <f t="shared" si="100"/>
        <v>1486.831789668111</v>
      </c>
      <c r="AG205" s="327">
        <f t="shared" si="101"/>
        <v>1476.9066449348215</v>
      </c>
      <c r="AH205" s="327">
        <f t="shared" si="102"/>
        <v>7.5804201509987337</v>
      </c>
      <c r="AI205" s="327">
        <f t="shared" si="103"/>
        <v>46.887260012410394</v>
      </c>
      <c r="AJ205" s="327">
        <f t="shared" si="104"/>
        <v>2.5403397007676065</v>
      </c>
      <c r="AK205" s="336">
        <f t="shared" si="105"/>
        <v>22.876116832391009</v>
      </c>
      <c r="AL205" s="42">
        <f t="shared" si="106"/>
        <v>16.813724304763792</v>
      </c>
      <c r="BA205" s="8"/>
    </row>
    <row r="206" spans="1:53" x14ac:dyDescent="0.25">
      <c r="A206" s="115"/>
      <c r="B206" s="327">
        <f t="shared" si="79"/>
        <v>1486.831789668111</v>
      </c>
      <c r="C206" s="327">
        <f t="shared" si="80"/>
        <v>1476.9066449348215</v>
      </c>
      <c r="D206" s="327">
        <f t="shared" si="81"/>
        <v>7.5804201509987337</v>
      </c>
      <c r="E206" s="327">
        <f t="shared" si="72"/>
        <v>66.662255191917581</v>
      </c>
      <c r="F206" s="327">
        <f t="shared" si="82"/>
        <v>66.61219066408438</v>
      </c>
      <c r="G206" s="327">
        <f t="shared" si="83"/>
        <v>2984.0228609001656</v>
      </c>
      <c r="H206" s="312">
        <f t="shared" si="73"/>
        <v>0.02</v>
      </c>
      <c r="I206" s="327">
        <f t="shared" si="84"/>
        <v>5.9550868399736823</v>
      </c>
      <c r="J206" s="327">
        <f t="shared" si="74"/>
        <v>1848</v>
      </c>
      <c r="K206" s="334">
        <f t="shared" si="85"/>
        <v>-1</v>
      </c>
      <c r="L206" s="322">
        <f t="shared" si="86"/>
        <v>7.5604201509987341</v>
      </c>
      <c r="M206" s="322">
        <f t="shared" si="87"/>
        <v>7.5704201509987339</v>
      </c>
      <c r="N206" s="327">
        <f t="shared" si="88"/>
        <v>-5.0649966101779853E-2</v>
      </c>
      <c r="O206" s="327">
        <f t="shared" si="75"/>
        <v>0.34091910022359223</v>
      </c>
      <c r="P206" s="331">
        <f t="shared" si="77"/>
        <v>193.77971920928465</v>
      </c>
      <c r="Q206" s="327">
        <f t="shared" si="89"/>
        <v>1149.6334242493303</v>
      </c>
      <c r="R206" s="276">
        <f>IF(H206&gt;0, rate1(1,$L$52,$L$51,$L$54,L206,$L$53,$L$50,P206),"")</f>
        <v>2289.5581984373707</v>
      </c>
      <c r="S206" s="322">
        <f t="shared" si="90"/>
        <v>1.4728426811623405</v>
      </c>
      <c r="T206" s="322">
        <f t="shared" si="91"/>
        <v>0.10711800799638529</v>
      </c>
      <c r="U206" s="327">
        <f t="shared" si="76"/>
        <v>7.5804201509987337</v>
      </c>
      <c r="V206" s="335">
        <f t="shared" si="92"/>
        <v>7.5804201509987337</v>
      </c>
      <c r="W206" s="327">
        <f t="shared" si="93"/>
        <v>1.6924827468081105E-3</v>
      </c>
      <c r="X206" s="327">
        <f t="shared" si="94"/>
        <v>1159.2679114523849</v>
      </c>
      <c r="Y206" s="327">
        <f t="shared" si="78"/>
        <v>194.29199646768436</v>
      </c>
      <c r="Z206" s="107">
        <f>IF(H206&gt;0, rate1(1,$L$52,$L$51,$L$54,U206,$L$53,$L$50,Y206),"")</f>
        <v>2290.343048598836</v>
      </c>
      <c r="AA206" s="335">
        <f t="shared" si="95"/>
        <v>1.4846768786293305</v>
      </c>
      <c r="AB206" s="335">
        <f t="shared" si="96"/>
        <v>-3.4919816096746006E-3</v>
      </c>
      <c r="AC206" s="327">
        <f t="shared" si="97"/>
        <v>0.10711800799638529</v>
      </c>
      <c r="AD206" s="327">
        <f t="shared" si="98"/>
        <v>-0.1867099694448659</v>
      </c>
      <c r="AE206" s="327">
        <f t="shared" si="99"/>
        <v>-4.5484313105633558E-3</v>
      </c>
      <c r="AF206" s="327">
        <f t="shared" si="100"/>
        <v>1486.6740216940129</v>
      </c>
      <c r="AG206" s="327">
        <f t="shared" si="101"/>
        <v>1476.7995269268251</v>
      </c>
      <c r="AH206" s="327">
        <f t="shared" si="102"/>
        <v>7.5610532234391492</v>
      </c>
      <c r="AI206" s="327">
        <f t="shared" si="103"/>
        <v>46.785448856243796</v>
      </c>
      <c r="AJ206" s="327">
        <f t="shared" si="104"/>
        <v>2.5533356587832299</v>
      </c>
      <c r="AK206" s="336">
        <f t="shared" si="105"/>
        <v>23.016894927603015</v>
      </c>
      <c r="AL206" s="42">
        <f t="shared" si="106"/>
        <v>16.900371961266725</v>
      </c>
      <c r="BA206" s="8"/>
    </row>
    <row r="207" spans="1:53" x14ac:dyDescent="0.25">
      <c r="A207" s="115"/>
      <c r="B207" s="327">
        <f t="shared" si="79"/>
        <v>1486.6740216940129</v>
      </c>
      <c r="C207" s="327">
        <f t="shared" si="80"/>
        <v>1476.7995269268251</v>
      </c>
      <c r="D207" s="327">
        <f t="shared" si="81"/>
        <v>7.5610532234391492</v>
      </c>
      <c r="E207" s="327">
        <f t="shared" si="72"/>
        <v>66.761932604626054</v>
      </c>
      <c r="F207" s="327">
        <f t="shared" si="82"/>
        <v>66.712093898271817</v>
      </c>
      <c r="G207" s="327">
        <f t="shared" si="83"/>
        <v>2965.5907311928772</v>
      </c>
      <c r="H207" s="312">
        <f t="shared" si="73"/>
        <v>0.02</v>
      </c>
      <c r="I207" s="327">
        <f t="shared" si="84"/>
        <v>5.9246968603126788</v>
      </c>
      <c r="J207" s="327">
        <f t="shared" si="74"/>
        <v>1848</v>
      </c>
      <c r="K207" s="334">
        <f t="shared" si="85"/>
        <v>-1</v>
      </c>
      <c r="L207" s="322">
        <f t="shared" si="86"/>
        <v>7.5410532234391496</v>
      </c>
      <c r="M207" s="322">
        <f t="shared" si="87"/>
        <v>7.5510532234391494</v>
      </c>
      <c r="N207" s="327">
        <f t="shared" si="88"/>
        <v>-5.0524787175227459E-2</v>
      </c>
      <c r="O207" s="327">
        <f t="shared" si="75"/>
        <v>0.33557619497969055</v>
      </c>
      <c r="P207" s="331">
        <f t="shared" si="77"/>
        <v>193.11825702401683</v>
      </c>
      <c r="Q207" s="327">
        <f t="shared" si="89"/>
        <v>1131.1341899763643</v>
      </c>
      <c r="R207" s="276">
        <f>IF(H207&gt;0, rate1(1,$L$52,$L$51,$L$54,L207,$L$53,$L$50,P207),"")</f>
        <v>2288.5394284609665</v>
      </c>
      <c r="S207" s="322">
        <f t="shared" si="90"/>
        <v>1.4728705724632418</v>
      </c>
      <c r="T207" s="322">
        <f t="shared" si="91"/>
        <v>0.10684696853102434</v>
      </c>
      <c r="U207" s="327">
        <f t="shared" si="76"/>
        <v>7.5610532234391492</v>
      </c>
      <c r="V207" s="335">
        <f t="shared" si="92"/>
        <v>7.5610532234391492</v>
      </c>
      <c r="W207" s="327">
        <f t="shared" si="93"/>
        <v>1.6838456743961672E-3</v>
      </c>
      <c r="X207" s="327">
        <f t="shared" si="94"/>
        <v>1140.7530273607913</v>
      </c>
      <c r="Y207" s="327">
        <f t="shared" si="78"/>
        <v>193.63009590623014</v>
      </c>
      <c r="Z207" s="107">
        <f>IF(H207&gt;0, rate1(1,$L$52,$L$51,$L$54,U207,$L$53,$L$50,Y207),"")</f>
        <v>2289.3282817460163</v>
      </c>
      <c r="AA207" s="335">
        <f t="shared" si="95"/>
        <v>1.4848836017014402</v>
      </c>
      <c r="AB207" s="335">
        <f t="shared" si="96"/>
        <v>-3.472680182393485E-3</v>
      </c>
      <c r="AC207" s="327">
        <f t="shared" si="97"/>
        <v>0.10684696853102434</v>
      </c>
      <c r="AD207" s="327">
        <f t="shared" si="98"/>
        <v>-0.18718359795292416</v>
      </c>
      <c r="AE207" s="327">
        <f t="shared" si="99"/>
        <v>-4.4271592084379509E-3</v>
      </c>
      <c r="AF207" s="327">
        <f t="shared" si="100"/>
        <v>1486.5166499383067</v>
      </c>
      <c r="AG207" s="327">
        <f t="shared" si="101"/>
        <v>1476.6926799582941</v>
      </c>
      <c r="AH207" s="327">
        <f t="shared" si="102"/>
        <v>7.5416846107164863</v>
      </c>
      <c r="AI207" s="327">
        <f t="shared" si="103"/>
        <v>46.687842561173831</v>
      </c>
      <c r="AJ207" s="327">
        <f t="shared" si="104"/>
        <v>2.5663045039391115</v>
      </c>
      <c r="AK207" s="336">
        <f t="shared" si="105"/>
        <v>23.156503776547524</v>
      </c>
      <c r="AL207" s="42">
        <f t="shared" si="106"/>
        <v>16.986831470753064</v>
      </c>
      <c r="BA207" s="8"/>
    </row>
    <row r="208" spans="1:53" x14ac:dyDescent="0.25">
      <c r="A208" s="115"/>
      <c r="B208" s="327">
        <f t="shared" si="79"/>
        <v>1486.5166499383067</v>
      </c>
      <c r="C208" s="327">
        <f t="shared" si="80"/>
        <v>1476.6926799582941</v>
      </c>
      <c r="D208" s="327">
        <f t="shared" si="81"/>
        <v>7.5416846107164863</v>
      </c>
      <c r="E208" s="327">
        <f t="shared" si="72"/>
        <v>66.861182024818987</v>
      </c>
      <c r="F208" s="327">
        <f t="shared" si="82"/>
        <v>66.811557314722521</v>
      </c>
      <c r="G208" s="327">
        <f t="shared" si="83"/>
        <v>2947.1861464384533</v>
      </c>
      <c r="H208" s="312">
        <f t="shared" si="73"/>
        <v>0.02</v>
      </c>
      <c r="I208" s="327">
        <f t="shared" si="84"/>
        <v>5.8943819880075807</v>
      </c>
      <c r="J208" s="327">
        <f t="shared" si="74"/>
        <v>1848</v>
      </c>
      <c r="K208" s="334">
        <f t="shared" si="85"/>
        <v>-1</v>
      </c>
      <c r="L208" s="322">
        <f t="shared" si="86"/>
        <v>7.5216846107164868</v>
      </c>
      <c r="M208" s="322">
        <f t="shared" si="87"/>
        <v>7.5316846107164865</v>
      </c>
      <c r="N208" s="327">
        <f t="shared" si="88"/>
        <v>-5.039957525890415E-2</v>
      </c>
      <c r="O208" s="327">
        <f t="shared" si="75"/>
        <v>0.33024699610112268</v>
      </c>
      <c r="P208" s="331">
        <f t="shared" si="77"/>
        <v>192.45730412794202</v>
      </c>
      <c r="Q208" s="327">
        <f t="shared" si="89"/>
        <v>1112.6631520327123</v>
      </c>
      <c r="R208" s="276">
        <f>IF(H208&gt;0, rate1(1,$L$52,$L$51,$L$54,L208,$L$53,$L$50,P208),"")</f>
        <v>2287.5153626141187</v>
      </c>
      <c r="S208" s="322">
        <f t="shared" si="90"/>
        <v>1.4728577706728934</v>
      </c>
      <c r="T208" s="322">
        <f t="shared" si="91"/>
        <v>0.106585062961287</v>
      </c>
      <c r="U208" s="327">
        <f t="shared" si="76"/>
        <v>7.5416846107164863</v>
      </c>
      <c r="V208" s="335">
        <f t="shared" si="92"/>
        <v>7.5416846107164863</v>
      </c>
      <c r="W208" s="327">
        <f t="shared" si="93"/>
        <v>1.675229948091328E-3</v>
      </c>
      <c r="X208" s="327">
        <f t="shared" si="94"/>
        <v>1122.2654654167818</v>
      </c>
      <c r="Y208" s="327">
        <f t="shared" si="78"/>
        <v>192.9687038457819</v>
      </c>
      <c r="Z208" s="107">
        <f>IF(H208&gt;0, rate1(1,$L$52,$L$51,$L$54,U208,$L$53,$L$50,Y208),"")</f>
        <v>2288.3082480431235</v>
      </c>
      <c r="AA208" s="335">
        <f t="shared" si="95"/>
        <v>1.4850538326260894</v>
      </c>
      <c r="AB208" s="335">
        <f t="shared" si="96"/>
        <v>-3.453699023511691E-3</v>
      </c>
      <c r="AC208" s="327">
        <f t="shared" si="97"/>
        <v>0.106585062961287</v>
      </c>
      <c r="AD208" s="327">
        <f t="shared" si="98"/>
        <v>-0.18764355383703479</v>
      </c>
      <c r="AE208" s="327">
        <f t="shared" si="99"/>
        <v>-4.3100923595641204E-3</v>
      </c>
      <c r="AF208" s="327">
        <f t="shared" si="100"/>
        <v>1486.3596653000866</v>
      </c>
      <c r="AG208" s="327">
        <f t="shared" si="101"/>
        <v>1476.5860948953327</v>
      </c>
      <c r="AH208" s="327">
        <f t="shared" si="102"/>
        <v>7.5223143125092369</v>
      </c>
      <c r="AI208" s="327">
        <f t="shared" si="103"/>
        <v>46.594250121006446</v>
      </c>
      <c r="AJ208" s="327">
        <f t="shared" si="104"/>
        <v>2.5792473511949465</v>
      </c>
      <c r="AK208" s="336">
        <f t="shared" si="105"/>
        <v>23.294960809706332</v>
      </c>
      <c r="AL208" s="42">
        <f t="shared" si="106"/>
        <v>17.073110603806114</v>
      </c>
      <c r="BA208" s="8"/>
    </row>
    <row r="209" spans="1:53" x14ac:dyDescent="0.25">
      <c r="A209" s="115"/>
      <c r="B209" s="327">
        <f t="shared" ref="B209:B272" si="107">IF(H209&gt;0, AF208,"")</f>
        <v>1486.3596653000866</v>
      </c>
      <c r="C209" s="327">
        <f t="shared" ref="C209:C272" si="108">IF(H209&gt;0, AG208,"")</f>
        <v>1476.5860948953327</v>
      </c>
      <c r="D209" s="327">
        <f t="shared" ref="D209:D272" si="109">IF(H209&gt;0, AH208,"")</f>
        <v>7.5223143125092369</v>
      </c>
      <c r="E209" s="327">
        <f t="shared" si="72"/>
        <v>66.960026043947934</v>
      </c>
      <c r="F209" s="327">
        <f t="shared" ref="F209:F272" si="110">IF(H209&gt;0, (E209+E208)/2,"")</f>
        <v>66.910604034383454</v>
      </c>
      <c r="G209" s="327">
        <f t="shared" ref="G209:G272" si="111">IF(H209&gt;0, F209*$S$53*$C$55*(B209-C209+N209)^1.5,"")</f>
        <v>2928.8108134929357</v>
      </c>
      <c r="H209" s="312">
        <f t="shared" ref="H209:H272" si="112">dv(S208)</f>
        <v>0.02</v>
      </c>
      <c r="I209" s="327">
        <f t="shared" ref="I209:I272" si="113">IF(H209&gt;0, (B209-C209)*B$19,"")</f>
        <v>5.8641422428523127</v>
      </c>
      <c r="J209" s="327">
        <f t="shared" si="74"/>
        <v>1848</v>
      </c>
      <c r="K209" s="334">
        <f t="shared" ref="K209:K272" si="114">IF(H209&gt;0, IF((1-S208-0.015)&gt;0,1,-1),"")</f>
        <v>-1</v>
      </c>
      <c r="L209" s="322">
        <f t="shared" ref="L209:L272" si="115">IF(H209&gt;0, D209+K209*H209,"")</f>
        <v>7.5023143125092373</v>
      </c>
      <c r="M209" s="322">
        <f t="shared" ref="M209:M272" si="116">IF(H209&gt;0, (D209+L209)/2,"")</f>
        <v>7.5123143125092371</v>
      </c>
      <c r="N209" s="327">
        <f t="shared" ref="N209:N272" si="117">IF(H209&gt;0, 2*($P$53*M209/$S$52/$S$51)^2-(B209-C209)*2,"")</f>
        <v>-5.0274330344990403E-2</v>
      </c>
      <c r="O209" s="327">
        <f t="shared" si="75"/>
        <v>0.32493118096929868</v>
      </c>
      <c r="P209" s="331">
        <f t="shared" si="77"/>
        <v>191.79686162930136</v>
      </c>
      <c r="Q209" s="327">
        <f t="shared" ref="Q209:Q272" si="118">IF(H209&gt;0, M209/$S$54*(B209-C209+N209/2)*E209-J209,"")</f>
        <v>1094.2219862212228</v>
      </c>
      <c r="R209" s="276">
        <f>IF(H209&gt;0, rate1(1,$L$52,$L$51,$L$54,L209,$L$53,$L$50,P209),"")</f>
        <v>2286.485962146643</v>
      </c>
      <c r="S209" s="322">
        <f t="shared" ref="S209:S272" si="119">IF(H209&gt;0, Q209/O209/R209,"")</f>
        <v>1.4728058768102619</v>
      </c>
      <c r="T209" s="322">
        <f t="shared" ref="T209:T272" si="120">IF(H209&gt;0, N209/(1-S209),"")</f>
        <v>0.10633186432487093</v>
      </c>
      <c r="U209" s="327">
        <f t="shared" ref="U209:U272" si="121">L209-K209*H209</f>
        <v>7.5223143125092369</v>
      </c>
      <c r="V209" s="335">
        <f t="shared" ref="V209:V272" si="122">IF(H209&gt;0, (D209+U209)/2,"")</f>
        <v>7.5223143125092369</v>
      </c>
      <c r="W209" s="327">
        <f t="shared" ref="W209:W272" si="123">IF(H209&gt;0, 2*($P$53*V209/$S$52/$S$51)^2-(B209-C209)*2,"")</f>
        <v>1.6666355735068805E-3</v>
      </c>
      <c r="X209" s="327">
        <f t="shared" ref="X209:X272" si="124">IF(H209&gt;0, V209/$S$54*(B209-C209+W209/2)*F209-J209,"")</f>
        <v>1103.8069441260091</v>
      </c>
      <c r="Y209" s="327">
        <f t="shared" si="78"/>
        <v>192.30782139115897</v>
      </c>
      <c r="Z209" s="107">
        <f>IF(H209&gt;0, rate1(1,$L$52,$L$51,$L$54,U209,$L$53,$L$50,Y209),"")</f>
        <v>2287.2829090101145</v>
      </c>
      <c r="AA209" s="335">
        <f t="shared" ref="AA209:AA272" si="125">IF(H209&gt;0, X209/O209/Z209,"")</f>
        <v>1.4851894242716763</v>
      </c>
      <c r="AB209" s="335">
        <f t="shared" ref="AB209:AB272" si="126">IF(H209&gt;0, W209/(1-AA209),"")</f>
        <v>-3.4350204067384346E-3</v>
      </c>
      <c r="AC209" s="327">
        <f t="shared" ref="AC209:AC272" si="127">IF(H209&gt;0, delta_z(N209,S209,H209,AE208,AB209),"")</f>
        <v>0.10633186432487093</v>
      </c>
      <c r="AD209" s="327">
        <f t="shared" ref="AD209:AD272" si="128">IF(H209&gt;0, H209/AC209*K209,"")</f>
        <v>-0.18809037278698421</v>
      </c>
      <c r="AE209" s="327">
        <f t="shared" ref="AE209:AE272" si="129">IF(H209&gt;0, (AD209-AD208)/(AC209+AC208)*2,"")</f>
        <v>-4.1971200284033105E-3</v>
      </c>
      <c r="AF209" s="327">
        <f t="shared" ref="AF209:AF272" si="130">IF(H209&gt;0, B209-(AC209-N209),"")</f>
        <v>1486.2030591054167</v>
      </c>
      <c r="AG209" s="327">
        <f t="shared" ref="AG209:AG272" si="131">IF(H209&gt;0, C209-AC209,"")</f>
        <v>1476.4797630310079</v>
      </c>
      <c r="AH209" s="327">
        <f t="shared" ref="AH209:AH272" si="132">IF(H209&gt;0, $S$54*$S$53*$C$55*SQRT(AF209-AG209),"")</f>
        <v>7.502942328494334</v>
      </c>
      <c r="AI209" s="327">
        <f t="shared" ref="AI209:AI272" si="133">IF(H209&gt;0, AC209/R209*1000000,"")</f>
        <v>46.504490333735696</v>
      </c>
      <c r="AJ209" s="327">
        <f t="shared" ref="AJ209:AJ272" si="134">IF(H209&gt;0, AJ208+AI209/3600,"")</f>
        <v>2.5921652651765399</v>
      </c>
      <c r="AK209" s="336">
        <f t="shared" ref="AK209:AK272" si="135">IF(H209&gt;0, AK208+AI208*G208/1000000,"")</f>
        <v>23.432282738166649</v>
      </c>
      <c r="AL209" s="42">
        <f t="shared" ref="AL209:AL272" si="136">IF(H209&gt;0, AL208+AI208*J208/1000000,"")</f>
        <v>17.159216778029734</v>
      </c>
      <c r="BA209" s="8"/>
    </row>
    <row r="210" spans="1:53" x14ac:dyDescent="0.25">
      <c r="A210" s="115"/>
      <c r="B210" s="327">
        <f t="shared" si="107"/>
        <v>1486.2030591054167</v>
      </c>
      <c r="C210" s="327">
        <f t="shared" si="108"/>
        <v>1476.4797630310079</v>
      </c>
      <c r="D210" s="327">
        <f t="shared" si="109"/>
        <v>7.502942328494334</v>
      </c>
      <c r="E210" s="327">
        <f t="shared" si="72"/>
        <v>67.058486248968876</v>
      </c>
      <c r="F210" s="327">
        <f t="shared" si="110"/>
        <v>67.009256146458398</v>
      </c>
      <c r="G210" s="327">
        <f t="shared" si="111"/>
        <v>2910.4663568046417</v>
      </c>
      <c r="H210" s="312">
        <f t="shared" si="112"/>
        <v>0.02</v>
      </c>
      <c r="I210" s="327">
        <f t="shared" si="113"/>
        <v>5.8339776446453016</v>
      </c>
      <c r="J210" s="327">
        <f t="shared" si="74"/>
        <v>1848</v>
      </c>
      <c r="K210" s="334">
        <f t="shared" si="114"/>
        <v>-1</v>
      </c>
      <c r="L210" s="322">
        <f t="shared" si="115"/>
        <v>7.4829423284943344</v>
      </c>
      <c r="M210" s="322">
        <f t="shared" si="116"/>
        <v>7.4929423284943342</v>
      </c>
      <c r="N210" s="327">
        <f t="shared" si="117"/>
        <v>-5.0149052425599194E-2</v>
      </c>
      <c r="O210" s="327">
        <f t="shared" si="75"/>
        <v>0.31962844216734732</v>
      </c>
      <c r="P210" s="331">
        <f t="shared" si="77"/>
        <v>191.13693064101494</v>
      </c>
      <c r="Q210" s="327">
        <f t="shared" si="118"/>
        <v>1075.812287713657</v>
      </c>
      <c r="R210" s="276">
        <f>IF(H210&gt;0, rate1(1,$L$52,$L$51,$L$54,L210,$L$53,$L$50,P210),"")</f>
        <v>2285.4511879453089</v>
      </c>
      <c r="S210" s="322">
        <f t="shared" si="119"/>
        <v>1.4727164305977289</v>
      </c>
      <c r="T210" s="322">
        <f t="shared" si="120"/>
        <v>0.10608696711089129</v>
      </c>
      <c r="U210" s="327">
        <f t="shared" si="121"/>
        <v>7.502942328494334</v>
      </c>
      <c r="V210" s="335">
        <f t="shared" si="122"/>
        <v>7.502942328494334</v>
      </c>
      <c r="W210" s="327">
        <f t="shared" si="123"/>
        <v>1.6580625562845341E-3</v>
      </c>
      <c r="X210" s="327">
        <f t="shared" si="124"/>
        <v>1085.3790990613793</v>
      </c>
      <c r="Y210" s="327">
        <f t="shared" si="78"/>
        <v>191.64744965183533</v>
      </c>
      <c r="Z210" s="107">
        <f>IF(H210&gt;0, rate1(1,$L$52,$L$51,$L$54,U210,$L$53,$L$50,Y210),"")</f>
        <v>2286.2522258069498</v>
      </c>
      <c r="AA210" s="335">
        <f t="shared" si="125"/>
        <v>1.4852921809858901</v>
      </c>
      <c r="AB210" s="335">
        <f t="shared" si="126"/>
        <v>-3.4166273870642528E-3</v>
      </c>
      <c r="AC210" s="327">
        <f t="shared" si="127"/>
        <v>0.10608696711089129</v>
      </c>
      <c r="AD210" s="327">
        <f t="shared" si="128"/>
        <v>-0.18852457134620756</v>
      </c>
      <c r="AE210" s="327">
        <f t="shared" si="129"/>
        <v>-4.0881362192660888E-3</v>
      </c>
      <c r="AF210" s="327">
        <f t="shared" si="130"/>
        <v>1486.0468230858803</v>
      </c>
      <c r="AG210" s="327">
        <f t="shared" si="131"/>
        <v>1476.3736760638969</v>
      </c>
      <c r="AH210" s="327">
        <f t="shared" si="132"/>
        <v>7.4835686583474814</v>
      </c>
      <c r="AI210" s="327">
        <f t="shared" si="133"/>
        <v>46.418391112639227</v>
      </c>
      <c r="AJ210" s="327">
        <f t="shared" si="134"/>
        <v>2.6050592627078286</v>
      </c>
      <c r="AK210" s="336">
        <f t="shared" si="135"/>
        <v>23.56848559233207</v>
      </c>
      <c r="AL210" s="42">
        <f t="shared" si="136"/>
        <v>17.245157076166478</v>
      </c>
    </row>
    <row r="211" spans="1:53" x14ac:dyDescent="0.25">
      <c r="A211" s="115"/>
      <c r="B211" s="327">
        <f t="shared" si="107"/>
        <v>1486.0468230858803</v>
      </c>
      <c r="C211" s="327">
        <f t="shared" si="108"/>
        <v>1476.3736760638969</v>
      </c>
      <c r="D211" s="327">
        <f t="shared" si="109"/>
        <v>7.4835686583474814</v>
      </c>
      <c r="E211" s="327">
        <f t="shared" si="72"/>
        <v>67.156583273045712</v>
      </c>
      <c r="F211" s="327">
        <f t="shared" si="110"/>
        <v>67.107534761007287</v>
      </c>
      <c r="G211" s="327">
        <f t="shared" si="111"/>
        <v>2892.1543228310379</v>
      </c>
      <c r="H211" s="312">
        <f t="shared" si="112"/>
        <v>0.02</v>
      </c>
      <c r="I211" s="327">
        <f t="shared" si="113"/>
        <v>5.8038882131900209</v>
      </c>
      <c r="J211" s="327">
        <f t="shared" si="74"/>
        <v>1848</v>
      </c>
      <c r="K211" s="334">
        <f t="shared" si="114"/>
        <v>-1</v>
      </c>
      <c r="L211" s="322">
        <f t="shared" si="115"/>
        <v>7.4635686583474818</v>
      </c>
      <c r="M211" s="322">
        <f t="shared" si="116"/>
        <v>7.4735686583474816</v>
      </c>
      <c r="N211" s="327">
        <f t="shared" si="117"/>
        <v>-5.0023741492875473E-2</v>
      </c>
      <c r="O211" s="327">
        <f t="shared" si="75"/>
        <v>0.31433848670089437</v>
      </c>
      <c r="P211" s="331">
        <f t="shared" si="77"/>
        <v>190.47751228072559</v>
      </c>
      <c r="Q211" s="327">
        <f t="shared" si="118"/>
        <v>1057.4355753435834</v>
      </c>
      <c r="R211" s="276">
        <f>IF(H211&gt;0, rate1(1,$L$52,$L$51,$L$54,L211,$L$53,$L$50,P211),"")</f>
        <v>2284.4110005297371</v>
      </c>
      <c r="S211" s="322">
        <f t="shared" si="119"/>
        <v>1.4725909136855722</v>
      </c>
      <c r="T211" s="322">
        <f t="shared" si="120"/>
        <v>0.10584998577894296</v>
      </c>
      <c r="U211" s="327">
        <f t="shared" si="121"/>
        <v>7.4835686583474814</v>
      </c>
      <c r="V211" s="335">
        <f t="shared" si="122"/>
        <v>7.4835686583474814</v>
      </c>
      <c r="W211" s="327">
        <f t="shared" si="123"/>
        <v>1.6495109020624454E-3</v>
      </c>
      <c r="X211" s="327">
        <f t="shared" si="124"/>
        <v>1066.9834873078407</v>
      </c>
      <c r="Y211" s="327">
        <f t="shared" si="78"/>
        <v>190.98758974198395</v>
      </c>
      <c r="Z211" s="107">
        <f>IF(H211&gt;0, rate1(1,$L$52,$L$51,$L$54,U211,$L$53,$L$50,Y211),"")</f>
        <v>2285.2161592295301</v>
      </c>
      <c r="AA211" s="335">
        <f t="shared" si="125"/>
        <v>1.4853638630246866</v>
      </c>
      <c r="AB211" s="335">
        <f t="shared" si="126"/>
        <v>-3.3985037365226096E-3</v>
      </c>
      <c r="AC211" s="327">
        <f t="shared" si="127"/>
        <v>0.10584998577894296</v>
      </c>
      <c r="AD211" s="327">
        <f t="shared" si="128"/>
        <v>-0.18894664796429908</v>
      </c>
      <c r="AE211" s="327">
        <f t="shared" si="129"/>
        <v>-3.9830394118284141E-3</v>
      </c>
      <c r="AF211" s="327">
        <f t="shared" si="130"/>
        <v>1485.8909493586084</v>
      </c>
      <c r="AG211" s="327">
        <f t="shared" si="131"/>
        <v>1476.2678260781181</v>
      </c>
      <c r="AH211" s="327">
        <f t="shared" si="132"/>
        <v>7.4641933017426023</v>
      </c>
      <c r="AI211" s="327">
        <f t="shared" si="133"/>
        <v>46.335788855156615</v>
      </c>
      <c r="AJ211" s="327">
        <f t="shared" si="134"/>
        <v>2.6179303151675946</v>
      </c>
      <c r="AK211" s="336">
        <f t="shared" si="135"/>
        <v>23.703584758002407</v>
      </c>
      <c r="AL211" s="42">
        <f t="shared" si="136"/>
        <v>17.330938262942635</v>
      </c>
    </row>
    <row r="212" spans="1:53" x14ac:dyDescent="0.25">
      <c r="A212" s="115"/>
      <c r="B212" s="327">
        <f t="shared" si="107"/>
        <v>1485.8909493586084</v>
      </c>
      <c r="C212" s="327">
        <f t="shared" si="108"/>
        <v>1476.2678260781181</v>
      </c>
      <c r="D212" s="327">
        <f t="shared" si="109"/>
        <v>7.4641933017426023</v>
      </c>
      <c r="E212" s="327">
        <f t="shared" si="72"/>
        <v>67.254336842765383</v>
      </c>
      <c r="F212" s="327">
        <f t="shared" si="110"/>
        <v>67.205460057905555</v>
      </c>
      <c r="G212" s="327">
        <f t="shared" si="111"/>
        <v>2873.8761841649821</v>
      </c>
      <c r="H212" s="312">
        <f t="shared" si="112"/>
        <v>0.02</v>
      </c>
      <c r="I212" s="327">
        <f t="shared" si="113"/>
        <v>5.7738739682941738</v>
      </c>
      <c r="J212" s="327">
        <f t="shared" si="74"/>
        <v>1848</v>
      </c>
      <c r="K212" s="334">
        <f t="shared" si="114"/>
        <v>-1</v>
      </c>
      <c r="L212" s="322">
        <f t="shared" si="115"/>
        <v>7.4441933017426027</v>
      </c>
      <c r="M212" s="322">
        <f t="shared" si="116"/>
        <v>7.4541933017426025</v>
      </c>
      <c r="N212" s="327">
        <f t="shared" si="117"/>
        <v>-4.9898397538942874E-2</v>
      </c>
      <c r="O212" s="327">
        <f t="shared" si="75"/>
        <v>0.30906103527347173</v>
      </c>
      <c r="P212" s="331">
        <f t="shared" si="77"/>
        <v>189.81860767081341</v>
      </c>
      <c r="Q212" s="327">
        <f t="shared" si="118"/>
        <v>1039.0932956187548</v>
      </c>
      <c r="R212" s="276">
        <f>IF(H212&gt;0, rate1(1,$L$52,$L$51,$L$54,L212,$L$53,$L$50,P212),"")</f>
        <v>2283.3653600481944</v>
      </c>
      <c r="S212" s="322">
        <f t="shared" si="119"/>
        <v>1.4724307526553075</v>
      </c>
      <c r="T212" s="322">
        <f t="shared" si="120"/>
        <v>0.10562055340065782</v>
      </c>
      <c r="U212" s="327">
        <f t="shared" si="121"/>
        <v>7.4641933017426023</v>
      </c>
      <c r="V212" s="335">
        <f t="shared" si="122"/>
        <v>7.4641933017426023</v>
      </c>
      <c r="W212" s="327">
        <f t="shared" si="123"/>
        <v>1.640980616429033E-3</v>
      </c>
      <c r="X212" s="327">
        <f t="shared" si="124"/>
        <v>1048.621591614602</v>
      </c>
      <c r="Y212" s="327">
        <f t="shared" si="78"/>
        <v>190.32824278049043</v>
      </c>
      <c r="Z212" s="107">
        <f>IF(H212&gt;0, rate1(1,$L$52,$L$51,$L$54,U212,$L$53,$L$50,Y212),"")</f>
        <v>2284.1746697055364</v>
      </c>
      <c r="AA212" s="335">
        <f t="shared" si="125"/>
        <v>1.485406190861454</v>
      </c>
      <c r="AB212" s="335">
        <f t="shared" si="126"/>
        <v>-3.3806338842048401E-3</v>
      </c>
      <c r="AC212" s="327">
        <f t="shared" si="127"/>
        <v>0.10562055340065782</v>
      </c>
      <c r="AD212" s="327">
        <f t="shared" si="128"/>
        <v>-0.18935708397713658</v>
      </c>
      <c r="AE212" s="327">
        <f t="shared" si="129"/>
        <v>-3.8817323153360287E-3</v>
      </c>
      <c r="AF212" s="327">
        <f t="shared" si="130"/>
        <v>1485.7354304076689</v>
      </c>
      <c r="AG212" s="327">
        <f t="shared" si="131"/>
        <v>1476.1622055247174</v>
      </c>
      <c r="AH212" s="327">
        <f t="shared" si="132"/>
        <v>7.4448162583526214</v>
      </c>
      <c r="AI212" s="327">
        <f t="shared" si="133"/>
        <v>46.256527863954503</v>
      </c>
      <c r="AJ212" s="327">
        <f t="shared" si="134"/>
        <v>2.6307793506853598</v>
      </c>
      <c r="AK212" s="336">
        <f t="shared" si="135"/>
        <v>23.837595010041635</v>
      </c>
      <c r="AL212" s="42">
        <f t="shared" si="136"/>
        <v>17.416566800746963</v>
      </c>
    </row>
    <row r="213" spans="1:53" x14ac:dyDescent="0.25">
      <c r="A213" s="115"/>
      <c r="B213" s="327">
        <f t="shared" si="107"/>
        <v>1485.7354304076689</v>
      </c>
      <c r="C213" s="327">
        <f t="shared" si="108"/>
        <v>1476.1622055247174</v>
      </c>
      <c r="D213" s="327">
        <f t="shared" si="109"/>
        <v>7.4448162583526214</v>
      </c>
      <c r="E213" s="327">
        <f t="shared" si="72"/>
        <v>67.351765822173178</v>
      </c>
      <c r="F213" s="327">
        <f t="shared" si="110"/>
        <v>67.303051332469281</v>
      </c>
      <c r="G213" s="327">
        <f t="shared" si="111"/>
        <v>2855.6333433962536</v>
      </c>
      <c r="H213" s="312">
        <f t="shared" si="112"/>
        <v>0.02</v>
      </c>
      <c r="I213" s="327">
        <f t="shared" si="113"/>
        <v>5.743934929770921</v>
      </c>
      <c r="J213" s="327">
        <f t="shared" si="74"/>
        <v>1848</v>
      </c>
      <c r="K213" s="334">
        <f t="shared" si="114"/>
        <v>-1</v>
      </c>
      <c r="L213" s="322">
        <f t="shared" si="115"/>
        <v>7.4248162583526218</v>
      </c>
      <c r="M213" s="322">
        <f t="shared" si="116"/>
        <v>7.4348162583526216</v>
      </c>
      <c r="N213" s="327">
        <f t="shared" si="117"/>
        <v>-4.9773020555910819E-2</v>
      </c>
      <c r="O213" s="327">
        <f t="shared" si="75"/>
        <v>0.30379582161192559</v>
      </c>
      <c r="P213" s="331">
        <f t="shared" si="77"/>
        <v>189.1602179384561</v>
      </c>
      <c r="Q213" s="327">
        <f t="shared" si="118"/>
        <v>1020.7868264787548</v>
      </c>
      <c r="R213" s="276">
        <f>IF(H213&gt;0, rate1(1,$L$52,$L$51,$L$54,L213,$L$53,$L$50,P213),"")</f>
        <v>2282.3142262734114</v>
      </c>
      <c r="S213" s="322">
        <f t="shared" si="119"/>
        <v>1.4722373218246589</v>
      </c>
      <c r="T213" s="322">
        <f t="shared" si="120"/>
        <v>0.10539832041142964</v>
      </c>
      <c r="U213" s="327">
        <f t="shared" si="121"/>
        <v>7.4448162583526214</v>
      </c>
      <c r="V213" s="335">
        <f t="shared" si="122"/>
        <v>7.4448162583526214</v>
      </c>
      <c r="W213" s="327">
        <f t="shared" si="123"/>
        <v>1.632471705054428E-3</v>
      </c>
      <c r="X213" s="327">
        <f t="shared" si="124"/>
        <v>1030.2948242810371</v>
      </c>
      <c r="Y213" s="327">
        <f t="shared" si="78"/>
        <v>189.66940989101337</v>
      </c>
      <c r="Z213" s="107">
        <f>IF(H213&gt;0, rate1(1,$L$52,$L$51,$L$54,U213,$L$53,$L$50,Y213),"")</f>
        <v>2283.1277172902801</v>
      </c>
      <c r="AA213" s="335">
        <f t="shared" si="125"/>
        <v>1.4854208494112202</v>
      </c>
      <c r="AB213" s="335">
        <f t="shared" si="126"/>
        <v>-3.3630028603725943E-3</v>
      </c>
      <c r="AC213" s="327">
        <f t="shared" si="127"/>
        <v>0.10539832041142964</v>
      </c>
      <c r="AD213" s="327">
        <f t="shared" si="128"/>
        <v>-0.1897563445217022</v>
      </c>
      <c r="AE213" s="327">
        <f t="shared" si="129"/>
        <v>-3.7841216508545032E-3</v>
      </c>
      <c r="AF213" s="327">
        <f t="shared" si="130"/>
        <v>1485.5802590667015</v>
      </c>
      <c r="AG213" s="327">
        <f t="shared" si="131"/>
        <v>1476.0568072043059</v>
      </c>
      <c r="AH213" s="327">
        <f t="shared" si="132"/>
        <v>7.4254375278484694</v>
      </c>
      <c r="AI213" s="327">
        <f t="shared" si="133"/>
        <v>46.180459814915679</v>
      </c>
      <c r="AJ213" s="327">
        <f t="shared" si="134"/>
        <v>2.6436072561895032</v>
      </c>
      <c r="AK213" s="336">
        <f t="shared" si="135"/>
        <v>23.97053054383202</v>
      </c>
      <c r="AL213" s="42">
        <f t="shared" si="136"/>
        <v>17.502048864239551</v>
      </c>
    </row>
    <row r="214" spans="1:53" x14ac:dyDescent="0.25">
      <c r="A214" s="115"/>
      <c r="B214" s="327">
        <f t="shared" si="107"/>
        <v>1485.5802590667015</v>
      </c>
      <c r="C214" s="327">
        <f t="shared" si="108"/>
        <v>1476.0568072043059</v>
      </c>
      <c r="D214" s="327">
        <f t="shared" si="109"/>
        <v>7.4254375278484694</v>
      </c>
      <c r="E214" s="327">
        <f t="shared" si="72"/>
        <v>67.448888253856552</v>
      </c>
      <c r="F214" s="327">
        <f t="shared" si="110"/>
        <v>67.400327038014865</v>
      </c>
      <c r="G214" s="327">
        <f t="shared" si="111"/>
        <v>2837.4271367258198</v>
      </c>
      <c r="H214" s="312">
        <f t="shared" si="112"/>
        <v>0.02</v>
      </c>
      <c r="I214" s="327">
        <f t="shared" si="113"/>
        <v>5.7140711174373786</v>
      </c>
      <c r="J214" s="327">
        <f t="shared" si="74"/>
        <v>1848</v>
      </c>
      <c r="K214" s="334">
        <f t="shared" si="114"/>
        <v>-1</v>
      </c>
      <c r="L214" s="322">
        <f t="shared" si="115"/>
        <v>7.4054375278484699</v>
      </c>
      <c r="M214" s="322">
        <f t="shared" si="116"/>
        <v>7.4154375278484697</v>
      </c>
      <c r="N214" s="327">
        <f t="shared" si="117"/>
        <v>-4.9647610535856757E-2</v>
      </c>
      <c r="O214" s="327">
        <f t="shared" si="75"/>
        <v>0.29854259183775367</v>
      </c>
      <c r="P214" s="331">
        <f t="shared" si="77"/>
        <v>188.50234421562888</v>
      </c>
      <c r="Q214" s="327">
        <f t="shared" si="118"/>
        <v>1002.5174808132074</v>
      </c>
      <c r="R214" s="276">
        <f>IF(H214&gt;0, rate1(1,$L$52,$L$51,$L$54,L214,$L$53,$L$50,P214),"")</f>
        <v>2281.2575585982372</v>
      </c>
      <c r="S214" s="322">
        <f t="shared" si="119"/>
        <v>1.472011945863231</v>
      </c>
      <c r="T214" s="322">
        <f t="shared" si="120"/>
        <v>0.10518295346330603</v>
      </c>
      <c r="U214" s="327">
        <f t="shared" si="121"/>
        <v>7.4254375278484694</v>
      </c>
      <c r="V214" s="335">
        <f t="shared" si="122"/>
        <v>7.4254375278484694</v>
      </c>
      <c r="W214" s="327">
        <f t="shared" si="123"/>
        <v>1.6239841735554705E-3</v>
      </c>
      <c r="X214" s="327">
        <f t="shared" si="124"/>
        <v>1012.0045307936639</v>
      </c>
      <c r="Y214" s="327">
        <f t="shared" si="78"/>
        <v>189.01109220198401</v>
      </c>
      <c r="Z214" s="107">
        <f>IF(H214&gt;0, rate1(1,$L$52,$L$51,$L$54,U214,$L$53,$L$50,Y214),"")</f>
        <v>2282.0752616624109</v>
      </c>
      <c r="AA214" s="335">
        <f t="shared" si="125"/>
        <v>1.4854094921950538</v>
      </c>
      <c r="AB214" s="335">
        <f t="shared" si="126"/>
        <v>-3.3455962433114085E-3</v>
      </c>
      <c r="AC214" s="327">
        <f t="shared" si="127"/>
        <v>0.10518295346330603</v>
      </c>
      <c r="AD214" s="327">
        <f t="shared" si="128"/>
        <v>-0.19014487938843788</v>
      </c>
      <c r="AE214" s="327">
        <f t="shared" si="129"/>
        <v>-3.6901179253649992E-3</v>
      </c>
      <c r="AF214" s="327">
        <f t="shared" si="130"/>
        <v>1485.4254285027023</v>
      </c>
      <c r="AG214" s="327">
        <f t="shared" si="131"/>
        <v>1475.9516242508425</v>
      </c>
      <c r="AH214" s="327">
        <f t="shared" si="132"/>
        <v>7.4060571098998551</v>
      </c>
      <c r="AI214" s="327">
        <f t="shared" si="133"/>
        <v>46.107443268237418</v>
      </c>
      <c r="AJ214" s="327">
        <f t="shared" si="134"/>
        <v>2.656414879319569</v>
      </c>
      <c r="AK214" s="336">
        <f t="shared" si="135"/>
        <v>24.102405004692862</v>
      </c>
      <c r="AL214" s="42">
        <f t="shared" si="136"/>
        <v>17.587390353977515</v>
      </c>
    </row>
    <row r="215" spans="1:53" x14ac:dyDescent="0.25">
      <c r="A215" s="115"/>
      <c r="B215" s="327">
        <f t="shared" si="107"/>
        <v>1485.4254285027023</v>
      </c>
      <c r="C215" s="327">
        <f t="shared" si="108"/>
        <v>1475.9516242508425</v>
      </c>
      <c r="D215" s="327">
        <f t="shared" si="109"/>
        <v>7.4060571098998551</v>
      </c>
      <c r="E215" s="327">
        <f t="shared" si="72"/>
        <v>67.545721397346455</v>
      </c>
      <c r="F215" s="327">
        <f t="shared" si="110"/>
        <v>67.497304825601503</v>
      </c>
      <c r="G215" s="327">
        <f t="shared" si="111"/>
        <v>2819.2588373560211</v>
      </c>
      <c r="H215" s="312">
        <f t="shared" si="112"/>
        <v>0.02</v>
      </c>
      <c r="I215" s="327">
        <f t="shared" si="113"/>
        <v>5.6842825511158477</v>
      </c>
      <c r="J215" s="327">
        <f t="shared" si="74"/>
        <v>1848</v>
      </c>
      <c r="K215" s="334">
        <f t="shared" si="114"/>
        <v>-1</v>
      </c>
      <c r="L215" s="322">
        <f t="shared" si="115"/>
        <v>7.3860571098998555</v>
      </c>
      <c r="M215" s="322">
        <f t="shared" si="116"/>
        <v>7.3960571098998553</v>
      </c>
      <c r="N215" s="327">
        <f t="shared" si="117"/>
        <v>-4.9522167470879452E-2</v>
      </c>
      <c r="O215" s="327">
        <f t="shared" si="75"/>
        <v>0.29330110388053837</v>
      </c>
      <c r="P215" s="331">
        <f t="shared" si="77"/>
        <v>187.84498763916488</v>
      </c>
      <c r="Q215" s="327">
        <f t="shared" si="118"/>
        <v>984.28650976444487</v>
      </c>
      <c r="R215" s="276">
        <f>IF(H215&gt;0, rate1(1,$L$52,$L$51,$L$54,L215,$L$53,$L$50,P215),"")</f>
        <v>2280.1953160313451</v>
      </c>
      <c r="S215" s="322">
        <f t="shared" si="119"/>
        <v>1.4717559022415705</v>
      </c>
      <c r="T215" s="322">
        <f t="shared" si="120"/>
        <v>0.1049741343681606</v>
      </c>
      <c r="U215" s="327">
        <f t="shared" si="121"/>
        <v>7.4060571098998551</v>
      </c>
      <c r="V215" s="335">
        <f t="shared" si="122"/>
        <v>7.4060571098998551</v>
      </c>
      <c r="W215" s="327">
        <f t="shared" si="123"/>
        <v>1.6155180275774228E-3</v>
      </c>
      <c r="X215" s="327">
        <f t="shared" si="124"/>
        <v>993.75199323772677</v>
      </c>
      <c r="Y215" s="327">
        <f t="shared" si="78"/>
        <v>188.35329084666628</v>
      </c>
      <c r="Z215" s="107">
        <f>IF(H215&gt;0, rate1(1,$L$52,$L$51,$L$54,U215,$L$53,$L$50,Y215),"")</f>
        <v>2281.0172621196543</v>
      </c>
      <c r="AA215" s="335">
        <f t="shared" si="125"/>
        <v>1.4853737454819893</v>
      </c>
      <c r="AB215" s="335">
        <f t="shared" si="126"/>
        <v>-3.3284001094314847E-3</v>
      </c>
      <c r="AC215" s="327">
        <f t="shared" si="127"/>
        <v>0.1049741343681606</v>
      </c>
      <c r="AD215" s="327">
        <f t="shared" si="128"/>
        <v>-0.19052312381883421</v>
      </c>
      <c r="AE215" s="327">
        <f t="shared" si="129"/>
        <v>-3.5996352471315057E-3</v>
      </c>
      <c r="AF215" s="327">
        <f t="shared" si="130"/>
        <v>1485.2709322008632</v>
      </c>
      <c r="AG215" s="327">
        <f t="shared" si="131"/>
        <v>1475.8466501164744</v>
      </c>
      <c r="AH215" s="327">
        <f t="shared" si="132"/>
        <v>7.3866750041748936</v>
      </c>
      <c r="AI215" s="327">
        <f t="shared" si="133"/>
        <v>46.037343217977892</v>
      </c>
      <c r="AJ215" s="327">
        <f t="shared" si="134"/>
        <v>2.6692030302134517</v>
      </c>
      <c r="AK215" s="336">
        <f t="shared" si="135"/>
        <v>24.233231515427207</v>
      </c>
      <c r="AL215" s="42">
        <f t="shared" si="136"/>
        <v>17.672596909137219</v>
      </c>
    </row>
    <row r="216" spans="1:53" x14ac:dyDescent="0.25">
      <c r="A216" s="115"/>
      <c r="B216" s="327">
        <f t="shared" si="107"/>
        <v>1485.2709322008632</v>
      </c>
      <c r="C216" s="327">
        <f t="shared" si="108"/>
        <v>1475.8466501164744</v>
      </c>
      <c r="D216" s="327">
        <f t="shared" si="109"/>
        <v>7.3866750041748936</v>
      </c>
      <c r="E216" s="327">
        <f t="shared" si="72"/>
        <v>67.642281765023299</v>
      </c>
      <c r="F216" s="327">
        <f t="shared" si="110"/>
        <v>67.59400158118487</v>
      </c>
      <c r="G216" s="327">
        <f t="shared" si="111"/>
        <v>2801.1296586710246</v>
      </c>
      <c r="H216" s="312">
        <f t="shared" si="112"/>
        <v>0.02</v>
      </c>
      <c r="I216" s="327">
        <f t="shared" si="113"/>
        <v>5.6545692506332665</v>
      </c>
      <c r="J216" s="327">
        <f t="shared" si="74"/>
        <v>1848</v>
      </c>
      <c r="K216" s="334">
        <f t="shared" si="114"/>
        <v>-1</v>
      </c>
      <c r="L216" s="322">
        <f t="shared" si="115"/>
        <v>7.3666750041748941</v>
      </c>
      <c r="M216" s="322">
        <f t="shared" si="116"/>
        <v>7.3766750041748939</v>
      </c>
      <c r="N216" s="327">
        <f t="shared" si="117"/>
        <v>-4.9396691353059907E-2</v>
      </c>
      <c r="O216" s="327">
        <f t="shared" si="75"/>
        <v>0.28807112693021203</v>
      </c>
      <c r="P216" s="331">
        <f t="shared" si="77"/>
        <v>187.18814935077705</v>
      </c>
      <c r="Q216" s="327">
        <f t="shared" si="118"/>
        <v>966.09510582682788</v>
      </c>
      <c r="R216" s="276">
        <f>IF(H216&gt;0, rate1(1,$L$52,$L$51,$L$54,L216,$L$53,$L$50,P216),"")</f>
        <v>2279.1274571928057</v>
      </c>
      <c r="S216" s="322">
        <f t="shared" si="119"/>
        <v>1.4714704235200211</v>
      </c>
      <c r="T216" s="322">
        <f t="shared" si="120"/>
        <v>0.10477155912403117</v>
      </c>
      <c r="U216" s="327">
        <f t="shared" si="121"/>
        <v>7.3866750041748936</v>
      </c>
      <c r="V216" s="335">
        <f t="shared" si="122"/>
        <v>7.3866750041748936</v>
      </c>
      <c r="W216" s="327">
        <f t="shared" si="123"/>
        <v>1.6070732727300197E-3</v>
      </c>
      <c r="X216" s="327">
        <f t="shared" si="124"/>
        <v>975.53843349761246</v>
      </c>
      <c r="Y216" s="327">
        <f t="shared" si="78"/>
        <v>187.69600696317863</v>
      </c>
      <c r="Z216" s="107">
        <f>IF(H216&gt;0, rate1(1,$L$52,$L$51,$L$54,U216,$L$53,$L$50,Y216),"")</f>
        <v>2279.9536775744373</v>
      </c>
      <c r="AA216" s="335">
        <f t="shared" si="125"/>
        <v>1.4853152124351743</v>
      </c>
      <c r="AB216" s="335">
        <f t="shared" si="126"/>
        <v>-3.3114009854877226E-3</v>
      </c>
      <c r="AC216" s="327">
        <f t="shared" si="127"/>
        <v>0.10477155912403117</v>
      </c>
      <c r="AD216" s="327">
        <f t="shared" si="128"/>
        <v>-0.1908914992505123</v>
      </c>
      <c r="AE216" s="327">
        <f t="shared" si="129"/>
        <v>-3.5125911340039011E-3</v>
      </c>
      <c r="AF216" s="327">
        <f t="shared" si="130"/>
        <v>1485.116763950386</v>
      </c>
      <c r="AG216" s="327">
        <f t="shared" si="131"/>
        <v>1475.7418785573504</v>
      </c>
      <c r="AH216" s="327">
        <f t="shared" si="132"/>
        <v>7.3672912103401798</v>
      </c>
      <c r="AI216" s="327">
        <f t="shared" si="133"/>
        <v>45.970030677037251</v>
      </c>
      <c r="AJ216" s="327">
        <f t="shared" si="134"/>
        <v>2.6819724831792953</v>
      </c>
      <c r="AK216" s="336">
        <f t="shared" si="135"/>
        <v>24.363022702142882</v>
      </c>
      <c r="AL216" s="42">
        <f t="shared" si="136"/>
        <v>17.757673919404041</v>
      </c>
    </row>
    <row r="217" spans="1:53" x14ac:dyDescent="0.25">
      <c r="A217" s="115"/>
      <c r="B217" s="327">
        <f t="shared" si="107"/>
        <v>1485.116763950386</v>
      </c>
      <c r="C217" s="327">
        <f t="shared" si="108"/>
        <v>1475.7418785573504</v>
      </c>
      <c r="D217" s="327">
        <f t="shared" si="109"/>
        <v>7.3672912103401798</v>
      </c>
      <c r="E217" s="327">
        <f t="shared" si="72"/>
        <v>67.738585155733674</v>
      </c>
      <c r="F217" s="327">
        <f t="shared" si="110"/>
        <v>67.690433460378486</v>
      </c>
      <c r="G217" s="327">
        <f t="shared" si="111"/>
        <v>2783.0407572248032</v>
      </c>
      <c r="H217" s="312">
        <f t="shared" si="112"/>
        <v>0.02</v>
      </c>
      <c r="I217" s="327">
        <f t="shared" si="113"/>
        <v>5.6249312358213501</v>
      </c>
      <c r="J217" s="327">
        <f t="shared" si="74"/>
        <v>1848</v>
      </c>
      <c r="K217" s="334">
        <f t="shared" si="114"/>
        <v>-1</v>
      </c>
      <c r="L217" s="322">
        <f t="shared" si="115"/>
        <v>7.3472912103401802</v>
      </c>
      <c r="M217" s="322">
        <f t="shared" si="116"/>
        <v>7.35729121034018</v>
      </c>
      <c r="N217" s="327">
        <f t="shared" si="117"/>
        <v>-4.9271182174425832E-2</v>
      </c>
      <c r="O217" s="327">
        <f t="shared" si="75"/>
        <v>0.28285244092495176</v>
      </c>
      <c r="P217" s="331">
        <f t="shared" si="77"/>
        <v>186.53183049709565</v>
      </c>
      <c r="Q217" s="327">
        <f t="shared" si="118"/>
        <v>947.94440576024681</v>
      </c>
      <c r="R217" s="276">
        <f>IF(H217&gt;0, rate1(1,$L$52,$L$51,$L$54,L217,$L$53,$L$50,P217),"")</f>
        <v>2278.0539403096363</v>
      </c>
      <c r="S217" s="322">
        <f t="shared" si="119"/>
        <v>1.471156699493257</v>
      </c>
      <c r="T217" s="322">
        <f t="shared" si="120"/>
        <v>0.10457493701653495</v>
      </c>
      <c r="U217" s="327">
        <f t="shared" si="121"/>
        <v>7.3672912103401798</v>
      </c>
      <c r="V217" s="335">
        <f t="shared" si="122"/>
        <v>7.3672912103401798</v>
      </c>
      <c r="W217" s="327">
        <f t="shared" si="123"/>
        <v>1.5986499146691813E-3</v>
      </c>
      <c r="X217" s="327">
        <f t="shared" si="124"/>
        <v>957.36501626362997</v>
      </c>
      <c r="Y217" s="327">
        <f t="shared" si="78"/>
        <v>187.03924169453134</v>
      </c>
      <c r="Z217" s="107">
        <f>IF(H217&gt;0, rate1(1,$L$52,$L$51,$L$54,U217,$L$53,$L$50,Y217),"")</f>
        <v>2278.8844665494771</v>
      </c>
      <c r="AA217" s="335">
        <f t="shared" si="125"/>
        <v>1.4852354772981555</v>
      </c>
      <c r="AB217" s="335">
        <f t="shared" si="126"/>
        <v>-3.2945858031045868E-3</v>
      </c>
      <c r="AC217" s="327">
        <f t="shared" si="127"/>
        <v>0.10457493701653495</v>
      </c>
      <c r="AD217" s="327">
        <f t="shared" si="128"/>
        <v>-0.19125041401495355</v>
      </c>
      <c r="AE217" s="327">
        <f t="shared" si="129"/>
        <v>-3.4289063448213076E-3</v>
      </c>
      <c r="AF217" s="327">
        <f t="shared" si="130"/>
        <v>1484.962917831195</v>
      </c>
      <c r="AG217" s="327">
        <f t="shared" si="131"/>
        <v>1475.637303620334</v>
      </c>
      <c r="AH217" s="327">
        <f t="shared" si="132"/>
        <v>7.3479057280607574</v>
      </c>
      <c r="AI217" s="327">
        <f t="shared" si="133"/>
        <v>45.905382294117658</v>
      </c>
      <c r="AJ217" s="327">
        <f t="shared" si="134"/>
        <v>2.6947239782609946</v>
      </c>
      <c r="AK217" s="336">
        <f t="shared" si="135"/>
        <v>24.491790718482349</v>
      </c>
      <c r="AL217" s="42">
        <f t="shared" si="136"/>
        <v>17.842626536095207</v>
      </c>
    </row>
    <row r="218" spans="1:53" x14ac:dyDescent="0.25">
      <c r="A218" s="115"/>
      <c r="B218" s="327">
        <f t="shared" si="107"/>
        <v>1484.962917831195</v>
      </c>
      <c r="C218" s="327">
        <f t="shared" si="108"/>
        <v>1475.637303620334</v>
      </c>
      <c r="D218" s="327">
        <f t="shared" si="109"/>
        <v>7.3479057280607574</v>
      </c>
      <c r="E218" s="327">
        <f t="shared" si="72"/>
        <v>67.834646686291592</v>
      </c>
      <c r="F218" s="327">
        <f t="shared" si="110"/>
        <v>67.78661592101264</v>
      </c>
      <c r="G218" s="327">
        <f t="shared" si="111"/>
        <v>2764.9932355506212</v>
      </c>
      <c r="H218" s="312">
        <f t="shared" si="112"/>
        <v>0.02</v>
      </c>
      <c r="I218" s="327">
        <f t="shared" si="113"/>
        <v>5.5953685265165856</v>
      </c>
      <c r="J218" s="327">
        <f t="shared" si="74"/>
        <v>1848</v>
      </c>
      <c r="K218" s="334">
        <f t="shared" si="114"/>
        <v>-1</v>
      </c>
      <c r="L218" s="322">
        <f t="shared" si="115"/>
        <v>7.3279057280607578</v>
      </c>
      <c r="M218" s="322">
        <f t="shared" si="116"/>
        <v>7.3379057280607576</v>
      </c>
      <c r="N218" s="327">
        <f t="shared" si="117"/>
        <v>-4.9145639927047569E-2</v>
      </c>
      <c r="O218" s="327">
        <f t="shared" si="75"/>
        <v>0.2776448360719998</v>
      </c>
      <c r="P218" s="331">
        <f t="shared" si="77"/>
        <v>185.8760322297023</v>
      </c>
      <c r="Q218" s="327">
        <f t="shared" si="118"/>
        <v>929.83549333088513</v>
      </c>
      <c r="R218" s="276">
        <f>IF(H218&gt;0, rate1(1,$L$52,$L$51,$L$54,L218,$L$53,$L$50,P218),"")</f>
        <v>2276.97472321128</v>
      </c>
      <c r="S218" s="322">
        <f t="shared" si="119"/>
        <v>1.4708158791998975</v>
      </c>
      <c r="T218" s="322">
        <f t="shared" si="120"/>
        <v>0.10438398978931096</v>
      </c>
      <c r="U218" s="327">
        <f t="shared" si="121"/>
        <v>7.3479057280607574</v>
      </c>
      <c r="V218" s="335">
        <f t="shared" si="122"/>
        <v>7.3479057280607574</v>
      </c>
      <c r="W218" s="327">
        <f t="shared" si="123"/>
        <v>1.5902479590401697E-3</v>
      </c>
      <c r="X218" s="327">
        <f t="shared" si="124"/>
        <v>939.23285185917757</v>
      </c>
      <c r="Y218" s="327">
        <f t="shared" si="78"/>
        <v>186.38299618865994</v>
      </c>
      <c r="Z218" s="107">
        <f>IF(H218&gt;0, rate1(1,$L$52,$L$51,$L$54,U218,$L$53,$L$50,Y218),"")</f>
        <v>2277.8095871733026</v>
      </c>
      <c r="AA218" s="335">
        <f t="shared" si="125"/>
        <v>1.4851361096550952</v>
      </c>
      <c r="AB218" s="335">
        <f t="shared" si="126"/>
        <v>-3.2779418546493013E-3</v>
      </c>
      <c r="AC218" s="327">
        <f t="shared" si="127"/>
        <v>0.10438398978931096</v>
      </c>
      <c r="AD218" s="327">
        <f t="shared" si="128"/>
        <v>-0.19160026399036936</v>
      </c>
      <c r="AE218" s="327">
        <f t="shared" si="129"/>
        <v>-3.3485047110801808E-3</v>
      </c>
      <c r="AF218" s="327">
        <f t="shared" si="130"/>
        <v>1484.8093882014787</v>
      </c>
      <c r="AG218" s="327">
        <f t="shared" si="131"/>
        <v>1475.5329196305447</v>
      </c>
      <c r="AH218" s="327">
        <f t="shared" si="132"/>
        <v>7.3285185570001934</v>
      </c>
      <c r="AI218" s="327">
        <f t="shared" si="133"/>
        <v>45.843280000093877</v>
      </c>
      <c r="AJ218" s="327">
        <f t="shared" si="134"/>
        <v>2.7074582227054651</v>
      </c>
      <c r="AK218" s="336">
        <f t="shared" si="135"/>
        <v>24.619547268382863</v>
      </c>
      <c r="AL218" s="42">
        <f t="shared" si="136"/>
        <v>17.927459682574735</v>
      </c>
    </row>
    <row r="219" spans="1:53" x14ac:dyDescent="0.25">
      <c r="A219" s="115"/>
      <c r="B219" s="327">
        <f t="shared" si="107"/>
        <v>1484.8093882014787</v>
      </c>
      <c r="C219" s="327">
        <f t="shared" si="108"/>
        <v>1475.5329196305447</v>
      </c>
      <c r="D219" s="327">
        <f t="shared" si="109"/>
        <v>7.3285185570001934</v>
      </c>
      <c r="E219" s="327">
        <f t="shared" si="72"/>
        <v>67.930480821025725</v>
      </c>
      <c r="F219" s="327">
        <f t="shared" si="110"/>
        <v>67.882563753658658</v>
      </c>
      <c r="G219" s="327">
        <f t="shared" si="111"/>
        <v>2746.9881448054462</v>
      </c>
      <c r="H219" s="312">
        <f t="shared" si="112"/>
        <v>0.02</v>
      </c>
      <c r="I219" s="327">
        <f t="shared" si="113"/>
        <v>5.5658811425603743</v>
      </c>
      <c r="J219" s="327">
        <f t="shared" si="74"/>
        <v>1848</v>
      </c>
      <c r="K219" s="334">
        <f t="shared" si="114"/>
        <v>-1</v>
      </c>
      <c r="L219" s="322">
        <f t="shared" si="115"/>
        <v>7.3085185570001938</v>
      </c>
      <c r="M219" s="322">
        <f t="shared" si="116"/>
        <v>7.3185185570001936</v>
      </c>
      <c r="N219" s="327">
        <f t="shared" si="117"/>
        <v>-4.9020064602959934E-2</v>
      </c>
      <c r="O219" s="327">
        <f t="shared" si="75"/>
        <v>0.27244811239882155</v>
      </c>
      <c r="P219" s="331">
        <f t="shared" si="77"/>
        <v>185.22075570516822</v>
      </c>
      <c r="Q219" s="327">
        <f t="shared" si="118"/>
        <v>911.76940189215384</v>
      </c>
      <c r="R219" s="276">
        <f>IF(H219&gt;0, rate1(1,$L$52,$L$51,$L$54,L219,$L$53,$L$50,P219),"")</f>
        <v>2275.8897633250281</v>
      </c>
      <c r="S219" s="322">
        <f t="shared" si="119"/>
        <v>1.4704490728077626</v>
      </c>
      <c r="T219" s="322">
        <f t="shared" si="120"/>
        <v>0.10419845087672384</v>
      </c>
      <c r="U219" s="327">
        <f t="shared" si="121"/>
        <v>7.3285185570001934</v>
      </c>
      <c r="V219" s="335">
        <f t="shared" si="122"/>
        <v>7.3285185570001934</v>
      </c>
      <c r="W219" s="327">
        <f t="shared" si="123"/>
        <v>1.5818674114527198E-3</v>
      </c>
      <c r="X219" s="327">
        <f t="shared" si="124"/>
        <v>921.14299890174198</v>
      </c>
      <c r="Y219" s="327">
        <f t="shared" si="78"/>
        <v>185.72727159846346</v>
      </c>
      <c r="Z219" s="107">
        <f>IF(H219&gt;0, rate1(1,$L$52,$L$51,$L$54,U219,$L$53,$L$50,Y219),"")</f>
        <v>2276.7289971757282</v>
      </c>
      <c r="AA219" s="335">
        <f t="shared" si="125"/>
        <v>1.4850186688027469</v>
      </c>
      <c r="AB219" s="335">
        <f t="shared" si="126"/>
        <v>-3.2614567504329452E-3</v>
      </c>
      <c r="AC219" s="327">
        <f t="shared" si="127"/>
        <v>0.10419845087672384</v>
      </c>
      <c r="AD219" s="327">
        <f t="shared" si="128"/>
        <v>-0.19194143321441318</v>
      </c>
      <c r="AE219" s="327">
        <f t="shared" si="129"/>
        <v>-3.2713129921618463E-3</v>
      </c>
      <c r="AF219" s="327">
        <f t="shared" si="130"/>
        <v>1484.656169685999</v>
      </c>
      <c r="AG219" s="327">
        <f t="shared" si="131"/>
        <v>1475.4287211796679</v>
      </c>
      <c r="AH219" s="327">
        <f t="shared" si="132"/>
        <v>7.3091296968202881</v>
      </c>
      <c r="AI219" s="327">
        <f t="shared" si="133"/>
        <v>45.78361068090225</v>
      </c>
      <c r="AJ219" s="327">
        <f t="shared" si="134"/>
        <v>2.7201758923390491</v>
      </c>
      <c r="AK219" s="336">
        <f t="shared" si="135"/>
        <v>24.746303627478575</v>
      </c>
      <c r="AL219" s="42">
        <f t="shared" si="136"/>
        <v>18.012178064014908</v>
      </c>
    </row>
    <row r="220" spans="1:53" x14ac:dyDescent="0.25">
      <c r="A220" s="115"/>
      <c r="B220" s="327">
        <f t="shared" si="107"/>
        <v>1484.656169685999</v>
      </c>
      <c r="C220" s="327">
        <f t="shared" si="108"/>
        <v>1475.4287211796679</v>
      </c>
      <c r="D220" s="327">
        <f t="shared" si="109"/>
        <v>7.3091296968202881</v>
      </c>
      <c r="E220" s="327">
        <f t="shared" si="72"/>
        <v>68.026101399515824</v>
      </c>
      <c r="F220" s="327">
        <f t="shared" si="110"/>
        <v>67.978291110270774</v>
      </c>
      <c r="G220" s="327">
        <f t="shared" si="111"/>
        <v>2729.0264872606213</v>
      </c>
      <c r="H220" s="312">
        <f t="shared" si="112"/>
        <v>0.02</v>
      </c>
      <c r="I220" s="327">
        <f t="shared" si="113"/>
        <v>5.5364691037986171</v>
      </c>
      <c r="J220" s="327">
        <f t="shared" si="74"/>
        <v>1848</v>
      </c>
      <c r="K220" s="334">
        <f t="shared" si="114"/>
        <v>-1</v>
      </c>
      <c r="L220" s="322">
        <f t="shared" si="115"/>
        <v>7.2891296968202886</v>
      </c>
      <c r="M220" s="322">
        <f t="shared" si="116"/>
        <v>7.2991296968202883</v>
      </c>
      <c r="N220" s="327">
        <f t="shared" si="117"/>
        <v>-4.8894456194187086E-2</v>
      </c>
      <c r="O220" s="327">
        <f t="shared" si="75"/>
        <v>0.26726207933229701</v>
      </c>
      <c r="P220" s="331">
        <f t="shared" si="77"/>
        <v>184.56600208508007</v>
      </c>
      <c r="Q220" s="327">
        <f t="shared" si="118"/>
        <v>893.74711681662438</v>
      </c>
      <c r="R220" s="276">
        <f>IF(H220&gt;0, rate1(1,$L$52,$L$51,$L$54,L220,$L$53,$L$50,P220),"")</f>
        <v>2274.7990176713647</v>
      </c>
      <c r="S220" s="322">
        <f t="shared" si="119"/>
        <v>1.4700573533826036</v>
      </c>
      <c r="T220" s="322">
        <f t="shared" si="120"/>
        <v>0.10401806469430849</v>
      </c>
      <c r="U220" s="327">
        <f t="shared" si="121"/>
        <v>7.3091296968202881</v>
      </c>
      <c r="V220" s="335">
        <f t="shared" si="122"/>
        <v>7.3091296968202881</v>
      </c>
      <c r="W220" s="327">
        <f t="shared" si="123"/>
        <v>1.5735082775769627E-3</v>
      </c>
      <c r="X220" s="327">
        <f t="shared" si="124"/>
        <v>903.09646680923242</v>
      </c>
      <c r="Y220" s="327">
        <f t="shared" si="78"/>
        <v>185.07206908183014</v>
      </c>
      <c r="Z220" s="107">
        <f>IF(H220&gt;0, rate1(1,$L$52,$L$51,$L$54,U220,$L$53,$L$50,Y220),"")</f>
        <v>2275.6426538832397</v>
      </c>
      <c r="AA220" s="335">
        <f t="shared" si="125"/>
        <v>1.4848847082736074</v>
      </c>
      <c r="AB220" s="335">
        <f t="shared" si="126"/>
        <v>-3.2451183770659852E-3</v>
      </c>
      <c r="AC220" s="327">
        <f t="shared" si="127"/>
        <v>0.10401806469430849</v>
      </c>
      <c r="AD220" s="327">
        <f t="shared" si="128"/>
        <v>-0.19227429445814648</v>
      </c>
      <c r="AE220" s="327">
        <f t="shared" si="129"/>
        <v>-3.1972607246877759E-3</v>
      </c>
      <c r="AF220" s="327">
        <f t="shared" si="130"/>
        <v>1484.5032571651104</v>
      </c>
      <c r="AG220" s="327">
        <f t="shared" si="131"/>
        <v>1475.3247031149735</v>
      </c>
      <c r="AH220" s="327">
        <f t="shared" si="132"/>
        <v>7.2897391471813204</v>
      </c>
      <c r="AI220" s="327">
        <f t="shared" si="133"/>
        <v>45.726265875034663</v>
      </c>
      <c r="AJ220" s="327">
        <f t="shared" si="134"/>
        <v>2.7328776328598923</v>
      </c>
      <c r="AK220" s="336">
        <f t="shared" si="135"/>
        <v>24.872070663245402</v>
      </c>
      <c r="AL220" s="42">
        <f t="shared" si="136"/>
        <v>18.096786176553216</v>
      </c>
    </row>
    <row r="221" spans="1:53" x14ac:dyDescent="0.25">
      <c r="A221" s="115"/>
      <c r="B221" s="327">
        <f t="shared" si="107"/>
        <v>1484.5032571651104</v>
      </c>
      <c r="C221" s="327">
        <f t="shared" si="108"/>
        <v>1475.3247031149735</v>
      </c>
      <c r="D221" s="327">
        <f t="shared" si="109"/>
        <v>7.2897391471813204</v>
      </c>
      <c r="E221" s="327">
        <f t="shared" si="72"/>
        <v>68.121521662660754</v>
      </c>
      <c r="F221" s="327">
        <f t="shared" si="110"/>
        <v>68.073811531088296</v>
      </c>
      <c r="G221" s="327">
        <f t="shared" si="111"/>
        <v>2711.1092186509036</v>
      </c>
      <c r="H221" s="312">
        <f t="shared" si="112"/>
        <v>0.02</v>
      </c>
      <c r="I221" s="327">
        <f t="shared" si="113"/>
        <v>5.5071324300821285</v>
      </c>
      <c r="J221" s="327">
        <f t="shared" si="74"/>
        <v>1848</v>
      </c>
      <c r="K221" s="334">
        <f t="shared" si="114"/>
        <v>-1</v>
      </c>
      <c r="L221" s="322">
        <f t="shared" si="115"/>
        <v>7.2697391471813209</v>
      </c>
      <c r="M221" s="322">
        <f t="shared" si="116"/>
        <v>7.2797391471813206</v>
      </c>
      <c r="N221" s="327">
        <f t="shared" si="117"/>
        <v>-4.8768814692735418E-2</v>
      </c>
      <c r="O221" s="327">
        <f t="shared" si="75"/>
        <v>0.2620865553038107</v>
      </c>
      <c r="P221" s="331">
        <f t="shared" si="77"/>
        <v>183.9117725360847</v>
      </c>
      <c r="Q221" s="327">
        <f t="shared" si="118"/>
        <v>875.76957779090071</v>
      </c>
      <c r="R221" s="276">
        <f>IF(H221&gt;0, rate1(1,$L$52,$L$51,$L$54,L221,$L$53,$L$50,P221),"")</f>
        <v>2273.7024428592763</v>
      </c>
      <c r="S221" s="322">
        <f t="shared" si="119"/>
        <v>1.469641758550793</v>
      </c>
      <c r="T221" s="322">
        <f t="shared" si="120"/>
        <v>0.10384258598133356</v>
      </c>
      <c r="U221" s="327">
        <f t="shared" si="121"/>
        <v>7.2897391471813204</v>
      </c>
      <c r="V221" s="335">
        <f t="shared" si="122"/>
        <v>7.2897391471813204</v>
      </c>
      <c r="W221" s="327">
        <f t="shared" si="123"/>
        <v>1.5651705630475021E-3</v>
      </c>
      <c r="X221" s="327">
        <f t="shared" si="124"/>
        <v>885.09421816376744</v>
      </c>
      <c r="Y221" s="327">
        <f t="shared" si="78"/>
        <v>184.41738980168154</v>
      </c>
      <c r="Z221" s="107">
        <f>IF(H221&gt;0, rate1(1,$L$52,$L$51,$L$54,U221,$L$53,$L$50,Y221),"")</f>
        <v>2274.5505142143516</v>
      </c>
      <c r="AA221" s="335">
        <f t="shared" si="125"/>
        <v>1.484735780556224</v>
      </c>
      <c r="AB221" s="335">
        <f t="shared" si="126"/>
        <v>-3.2289148559479191E-3</v>
      </c>
      <c r="AC221" s="327">
        <f t="shared" si="127"/>
        <v>0.10384258598133356</v>
      </c>
      <c r="AD221" s="327">
        <f t="shared" si="128"/>
        <v>-0.19259920976539568</v>
      </c>
      <c r="AE221" s="327">
        <f t="shared" si="129"/>
        <v>-3.1262800938329032E-3</v>
      </c>
      <c r="AF221" s="327">
        <f t="shared" si="130"/>
        <v>1484.3506457644364</v>
      </c>
      <c r="AG221" s="327">
        <f t="shared" si="131"/>
        <v>1475.2208605289923</v>
      </c>
      <c r="AH221" s="327">
        <f t="shared" si="132"/>
        <v>7.2703469077419323</v>
      </c>
      <c r="AI221" s="327">
        <f t="shared" si="133"/>
        <v>45.671141493232135</v>
      </c>
      <c r="AJ221" s="327">
        <f t="shared" si="134"/>
        <v>2.7455640610524568</v>
      </c>
      <c r="AK221" s="336">
        <f t="shared" si="135"/>
        <v>24.996858853981895</v>
      </c>
      <c r="AL221" s="42">
        <f t="shared" si="136"/>
        <v>18.181288315890281</v>
      </c>
    </row>
    <row r="222" spans="1:53" x14ac:dyDescent="0.25">
      <c r="A222" s="115"/>
      <c r="B222" s="327">
        <f t="shared" si="107"/>
        <v>1484.3506457644364</v>
      </c>
      <c r="C222" s="327">
        <f t="shared" si="108"/>
        <v>1475.2208605289923</v>
      </c>
      <c r="D222" s="327">
        <f t="shared" si="109"/>
        <v>7.2703469077419323</v>
      </c>
      <c r="E222" s="327">
        <f t="shared" si="72"/>
        <v>68.216754277192223</v>
      </c>
      <c r="F222" s="327">
        <f t="shared" si="110"/>
        <v>68.169137969926481</v>
      </c>
      <c r="G222" s="327">
        <f t="shared" si="111"/>
        <v>2693.2372503909278</v>
      </c>
      <c r="H222" s="312">
        <f t="shared" si="112"/>
        <v>0.02</v>
      </c>
      <c r="I222" s="327">
        <f t="shared" si="113"/>
        <v>5.4778711412664958</v>
      </c>
      <c r="J222" s="327">
        <f t="shared" si="74"/>
        <v>1848</v>
      </c>
      <c r="K222" s="334">
        <f t="shared" si="114"/>
        <v>-1</v>
      </c>
      <c r="L222" s="322">
        <f t="shared" si="115"/>
        <v>7.2503469077419327</v>
      </c>
      <c r="M222" s="322">
        <f t="shared" si="116"/>
        <v>7.2603469077419325</v>
      </c>
      <c r="N222" s="327">
        <f t="shared" si="117"/>
        <v>-4.8643140090593562E-2</v>
      </c>
      <c r="O222" s="327">
        <f t="shared" si="75"/>
        <v>0.25692136737833449</v>
      </c>
      <c r="P222" s="331">
        <f t="shared" si="77"/>
        <v>183.25806822992192</v>
      </c>
      <c r="Q222" s="327">
        <f t="shared" si="118"/>
        <v>857.83768098171686</v>
      </c>
      <c r="R222" s="276">
        <f>IF(H222&gt;0, rate1(1,$L$52,$L$51,$L$54,L222,$L$53,$L$50,P222),"")</f>
        <v>2272.5999950814803</v>
      </c>
      <c r="S222" s="322">
        <f t="shared" si="119"/>
        <v>1.4692032920611693</v>
      </c>
      <c r="T222" s="322">
        <f t="shared" si="120"/>
        <v>0.10367177919171981</v>
      </c>
      <c r="U222" s="327">
        <f t="shared" si="121"/>
        <v>7.2703469077419323</v>
      </c>
      <c r="V222" s="335">
        <f t="shared" si="122"/>
        <v>7.2703469077419323</v>
      </c>
      <c r="W222" s="327">
        <f t="shared" si="123"/>
        <v>1.556854273488284E-3</v>
      </c>
      <c r="X222" s="327">
        <f t="shared" si="124"/>
        <v>867.13717094204549</v>
      </c>
      <c r="Y222" s="327">
        <f t="shared" si="78"/>
        <v>183.76323492600542</v>
      </c>
      <c r="Z222" s="107">
        <f>IF(H222&gt;0, rate1(1,$L$52,$L$51,$L$54,U222,$L$53,$L$50,Y222),"")</f>
        <v>2273.4525346748851</v>
      </c>
      <c r="AA222" s="335">
        <f t="shared" si="125"/>
        <v>1.4845734420599521</v>
      </c>
      <c r="AB222" s="335">
        <f t="shared" si="126"/>
        <v>-3.2128345021757666E-3</v>
      </c>
      <c r="AC222" s="327">
        <f t="shared" si="127"/>
        <v>0.10367177919171981</v>
      </c>
      <c r="AD222" s="327">
        <f t="shared" si="128"/>
        <v>-0.19291653095886471</v>
      </c>
      <c r="AE222" s="327">
        <f t="shared" si="129"/>
        <v>-3.0583058016672993E-3</v>
      </c>
      <c r="AF222" s="327">
        <f t="shared" si="130"/>
        <v>1484.198330845154</v>
      </c>
      <c r="AG222" s="327">
        <f t="shared" si="131"/>
        <v>1475.1171887498006</v>
      </c>
      <c r="AH222" s="327">
        <f t="shared" si="132"/>
        <v>7.2509529781591135</v>
      </c>
      <c r="AI222" s="327">
        <f t="shared" si="133"/>
        <v>45.61813755878444</v>
      </c>
      <c r="AJ222" s="327">
        <f t="shared" si="134"/>
        <v>2.7582357659298968</v>
      </c>
      <c r="AK222" s="336">
        <f t="shared" si="135"/>
        <v>25.120678306710506</v>
      </c>
      <c r="AL222" s="42">
        <f t="shared" si="136"/>
        <v>18.265688585369773</v>
      </c>
    </row>
    <row r="223" spans="1:53" x14ac:dyDescent="0.25">
      <c r="A223" s="115"/>
      <c r="B223" s="327">
        <f t="shared" si="107"/>
        <v>1484.198330845154</v>
      </c>
      <c r="C223" s="327">
        <f t="shared" si="108"/>
        <v>1475.1171887498006</v>
      </c>
      <c r="D223" s="327">
        <f t="shared" si="109"/>
        <v>7.2509529781591135</v>
      </c>
      <c r="E223" s="327">
        <f t="shared" si="72"/>
        <v>68.311811358753829</v>
      </c>
      <c r="F223" s="327">
        <f t="shared" si="110"/>
        <v>68.264282817973026</v>
      </c>
      <c r="G223" s="327">
        <f t="shared" si="111"/>
        <v>2675.4114516687255</v>
      </c>
      <c r="H223" s="312">
        <f t="shared" si="112"/>
        <v>0.02</v>
      </c>
      <c r="I223" s="327">
        <f t="shared" si="113"/>
        <v>5.4486852572120821</v>
      </c>
      <c r="J223" s="327">
        <f t="shared" si="74"/>
        <v>1848</v>
      </c>
      <c r="K223" s="334">
        <f t="shared" si="114"/>
        <v>-1</v>
      </c>
      <c r="L223" s="322">
        <f t="shared" si="115"/>
        <v>7.230952978159114</v>
      </c>
      <c r="M223" s="322">
        <f t="shared" si="116"/>
        <v>7.2409529781591138</v>
      </c>
      <c r="N223" s="327">
        <f t="shared" si="117"/>
        <v>-4.8517432379778569E-2</v>
      </c>
      <c r="O223" s="327">
        <f t="shared" si="75"/>
        <v>0.25176635090570748</v>
      </c>
      <c r="P223" s="331">
        <f t="shared" si="77"/>
        <v>182.60489034346074</v>
      </c>
      <c r="Q223" s="327">
        <f t="shared" si="118"/>
        <v>839.95228108292349</v>
      </c>
      <c r="R223" s="276">
        <f>IF(H223&gt;0, rate1(1,$L$52,$L$51,$L$54,L223,$L$53,$L$50,P223),"")</f>
        <v>2271.4916301095905</v>
      </c>
      <c r="S223" s="322">
        <f t="shared" si="119"/>
        <v>1.4687429252542425</v>
      </c>
      <c r="T223" s="322">
        <f t="shared" si="120"/>
        <v>0.10350541792916253</v>
      </c>
      <c r="U223" s="327">
        <f t="shared" si="121"/>
        <v>7.2509529781591135</v>
      </c>
      <c r="V223" s="335">
        <f t="shared" si="122"/>
        <v>7.2509529781591135</v>
      </c>
      <c r="W223" s="327">
        <f t="shared" si="123"/>
        <v>1.5485594145694392E-3</v>
      </c>
      <c r="X223" s="327">
        <f t="shared" si="124"/>
        <v>849.22620062205215</v>
      </c>
      <c r="Y223" s="327">
        <f t="shared" si="78"/>
        <v>183.10960562789157</v>
      </c>
      <c r="Z223" s="107">
        <f>IF(H223&gt;0, rate1(1,$L$52,$L$51,$L$54,U223,$L$53,$L$50,Y223),"")</f>
        <v>2272.3486713531775</v>
      </c>
      <c r="AA223" s="335">
        <f t="shared" si="125"/>
        <v>1.4843992583797836</v>
      </c>
      <c r="AB223" s="335">
        <f t="shared" si="126"/>
        <v>-3.1968657832983759E-3</v>
      </c>
      <c r="AC223" s="327">
        <f t="shared" si="127"/>
        <v>0.10350541792916253</v>
      </c>
      <c r="AD223" s="327">
        <f t="shared" si="128"/>
        <v>-0.19322660011563533</v>
      </c>
      <c r="AE223" s="327">
        <f t="shared" si="129"/>
        <v>-2.9932749460810917E-3</v>
      </c>
      <c r="AF223" s="327">
        <f t="shared" si="130"/>
        <v>1484.0463079948452</v>
      </c>
      <c r="AG223" s="327">
        <f t="shared" si="131"/>
        <v>1475.0136833318713</v>
      </c>
      <c r="AH223" s="327">
        <f t="shared" si="132"/>
        <v>7.2315573580883568</v>
      </c>
      <c r="AI223" s="327">
        <f t="shared" si="133"/>
        <v>45.567157966665633</v>
      </c>
      <c r="AJ223" s="327">
        <f t="shared" si="134"/>
        <v>2.7708933098095261</v>
      </c>
      <c r="AK223" s="336">
        <f t="shared" si="135"/>
        <v>25.243538774077283</v>
      </c>
      <c r="AL223" s="42">
        <f t="shared" si="136"/>
        <v>18.349990903578405</v>
      </c>
    </row>
    <row r="224" spans="1:53" x14ac:dyDescent="0.25">
      <c r="A224" s="115"/>
      <c r="B224" s="327">
        <f t="shared" si="107"/>
        <v>1484.0463079948452</v>
      </c>
      <c r="C224" s="327">
        <f t="shared" si="108"/>
        <v>1475.0136833318713</v>
      </c>
      <c r="D224" s="327">
        <f t="shared" si="109"/>
        <v>7.2315573580883568</v>
      </c>
      <c r="E224" s="327">
        <f t="shared" si="72"/>
        <v>68.406704493644796</v>
      </c>
      <c r="F224" s="327">
        <f t="shared" si="110"/>
        <v>68.359257926199319</v>
      </c>
      <c r="G224" s="327">
        <f t="shared" si="111"/>
        <v>2657.63265142501</v>
      </c>
      <c r="H224" s="312">
        <f t="shared" si="112"/>
        <v>0.02</v>
      </c>
      <c r="I224" s="327">
        <f t="shared" si="113"/>
        <v>5.4195747977842981</v>
      </c>
      <c r="J224" s="327">
        <f t="shared" si="74"/>
        <v>1848</v>
      </c>
      <c r="K224" s="334">
        <f t="shared" si="114"/>
        <v>-1</v>
      </c>
      <c r="L224" s="322">
        <f t="shared" si="115"/>
        <v>7.2115573580883572</v>
      </c>
      <c r="M224" s="322">
        <f t="shared" si="116"/>
        <v>7.221557358088357</v>
      </c>
      <c r="N224" s="327">
        <f t="shared" si="117"/>
        <v>-4.8391691552229332E-2</v>
      </c>
      <c r="O224" s="327">
        <f t="shared" si="75"/>
        <v>0.24662134919246848</v>
      </c>
      <c r="P224" s="331">
        <f t="shared" si="77"/>
        <v>181.95224005874229</v>
      </c>
      <c r="Q224" s="327">
        <f t="shared" si="118"/>
        <v>822.11419325148472</v>
      </c>
      <c r="R224" s="276">
        <f>IF(H224&gt;0, rate1(1,$L$52,$L$51,$L$54,L224,$L$53,$L$50,P224),"")</f>
        <v>2270.37730328923</v>
      </c>
      <c r="S224" s="322">
        <f t="shared" si="119"/>
        <v>1.4682615984451375</v>
      </c>
      <c r="T224" s="322">
        <f t="shared" si="120"/>
        <v>0.10334328442245516</v>
      </c>
      <c r="U224" s="327">
        <f t="shared" si="121"/>
        <v>7.2315573580883568</v>
      </c>
      <c r="V224" s="335">
        <f t="shared" si="122"/>
        <v>7.2315573580883568</v>
      </c>
      <c r="W224" s="327">
        <f t="shared" si="123"/>
        <v>1.5402859919255718E-3</v>
      </c>
      <c r="X224" s="327">
        <f t="shared" si="124"/>
        <v>831.3621421747057</v>
      </c>
      <c r="Y224" s="327">
        <f t="shared" si="78"/>
        <v>182.45650308557424</v>
      </c>
      <c r="Z224" s="107">
        <f>IF(H224&gt;0, rate1(1,$L$52,$L$51,$L$54,U224,$L$53,$L$50,Y224),"")</f>
        <v>2271.2388799152491</v>
      </c>
      <c r="AA224" s="335">
        <f t="shared" si="125"/>
        <v>1.4842148099232793</v>
      </c>
      <c r="AB224" s="335">
        <f t="shared" si="126"/>
        <v>-3.1809972771580865E-3</v>
      </c>
      <c r="AC224" s="327">
        <f t="shared" si="127"/>
        <v>0.10334328442245516</v>
      </c>
      <c r="AD224" s="327">
        <f t="shared" si="128"/>
        <v>-0.19352975001493428</v>
      </c>
      <c r="AE224" s="327">
        <f t="shared" si="129"/>
        <v>-2.9311269140439218E-3</v>
      </c>
      <c r="AF224" s="327">
        <f t="shared" si="130"/>
        <v>1483.8945730188705</v>
      </c>
      <c r="AG224" s="327">
        <f t="shared" si="131"/>
        <v>1474.9103400474489</v>
      </c>
      <c r="AH224" s="327">
        <f t="shared" si="132"/>
        <v>7.2121600471831782</v>
      </c>
      <c r="AI224" s="327">
        <f t="shared" si="133"/>
        <v>45.51811025979498</v>
      </c>
      <c r="AJ224" s="327">
        <f t="shared" si="134"/>
        <v>2.7835372293261358</v>
      </c>
      <c r="AK224" s="336">
        <f t="shared" si="135"/>
        <v>25.365449670321297</v>
      </c>
      <c r="AL224" s="42">
        <f t="shared" si="136"/>
        <v>18.434199011500802</v>
      </c>
    </row>
    <row r="225" spans="1:38" x14ac:dyDescent="0.25">
      <c r="A225" s="115"/>
      <c r="B225" s="327">
        <f t="shared" si="107"/>
        <v>1483.8945730188705</v>
      </c>
      <c r="C225" s="327">
        <f t="shared" si="108"/>
        <v>1474.9103400474489</v>
      </c>
      <c r="D225" s="327">
        <f t="shared" si="109"/>
        <v>7.2121600471831782</v>
      </c>
      <c r="E225" s="327">
        <f t="shared" si="72"/>
        <v>68.501444759321089</v>
      </c>
      <c r="F225" s="327">
        <f t="shared" si="110"/>
        <v>68.454074626482935</v>
      </c>
      <c r="G225" s="327">
        <f t="shared" si="111"/>
        <v>2639.9016402248217</v>
      </c>
      <c r="H225" s="312">
        <f t="shared" si="112"/>
        <v>0.02</v>
      </c>
      <c r="I225" s="327">
        <f t="shared" si="113"/>
        <v>5.3905397828529198</v>
      </c>
      <c r="J225" s="327">
        <f t="shared" si="74"/>
        <v>1848</v>
      </c>
      <c r="K225" s="334">
        <f t="shared" si="114"/>
        <v>-1</v>
      </c>
      <c r="L225" s="322">
        <f t="shared" si="115"/>
        <v>7.1921600471831786</v>
      </c>
      <c r="M225" s="322">
        <f t="shared" si="116"/>
        <v>7.2021600471831784</v>
      </c>
      <c r="N225" s="327">
        <f t="shared" si="117"/>
        <v>-4.8265917599920272E-2</v>
      </c>
      <c r="O225" s="327">
        <f t="shared" si="75"/>
        <v>0.24148621319281965</v>
      </c>
      <c r="P225" s="331">
        <f t="shared" si="77"/>
        <v>181.30011856300118</v>
      </c>
      <c r="Q225" s="327">
        <f t="shared" si="118"/>
        <v>804.32419493891712</v>
      </c>
      <c r="R225" s="276">
        <f>IF(H225&gt;0, rate1(1,$L$52,$L$51,$L$54,L225,$L$53,$L$50,P225),"")</f>
        <v>2269.2569695350439</v>
      </c>
      <c r="S225" s="322">
        <f t="shared" si="119"/>
        <v>1.4677602222237314</v>
      </c>
      <c r="T225" s="322">
        <f t="shared" si="120"/>
        <v>0.1031851690390948</v>
      </c>
      <c r="U225" s="327">
        <f t="shared" si="121"/>
        <v>7.2121600471831782</v>
      </c>
      <c r="V225" s="335">
        <f t="shared" si="122"/>
        <v>7.2121600471831782</v>
      </c>
      <c r="W225" s="327">
        <f t="shared" si="123"/>
        <v>1.5320340111948383E-3</v>
      </c>
      <c r="X225" s="327">
        <f t="shared" si="124"/>
        <v>813.54579194732196</v>
      </c>
      <c r="Y225" s="327">
        <f t="shared" si="78"/>
        <v>181.80392848245364</v>
      </c>
      <c r="Z225" s="107">
        <f>IF(H225&gt;0, rate1(1,$L$52,$L$51,$L$54,U225,$L$53,$L$50,Y225),"")</f>
        <v>2270.1231155998612</v>
      </c>
      <c r="AA225" s="335">
        <f t="shared" si="125"/>
        <v>1.4840216979677776</v>
      </c>
      <c r="AB225" s="335">
        <f t="shared" si="126"/>
        <v>-3.1652176289353648E-3</v>
      </c>
      <c r="AC225" s="327">
        <f t="shared" si="127"/>
        <v>0.1031851690390948</v>
      </c>
      <c r="AD225" s="327">
        <f t="shared" si="128"/>
        <v>-0.19382630455760944</v>
      </c>
      <c r="AE225" s="327">
        <f t="shared" si="129"/>
        <v>-2.8718032571755999E-3</v>
      </c>
      <c r="AF225" s="327">
        <f t="shared" si="130"/>
        <v>1483.7431219322314</v>
      </c>
      <c r="AG225" s="327">
        <f t="shared" si="131"/>
        <v>1474.8071548784098</v>
      </c>
      <c r="AH225" s="327">
        <f t="shared" si="132"/>
        <v>7.1927610450956454</v>
      </c>
      <c r="AI225" s="327">
        <f t="shared" si="133"/>
        <v>45.470905421626526</v>
      </c>
      <c r="AJ225" s="327">
        <f t="shared" si="134"/>
        <v>2.7961680363876988</v>
      </c>
      <c r="AK225" s="336">
        <f t="shared" si="135"/>
        <v>25.486420086378892</v>
      </c>
      <c r="AL225" s="42">
        <f t="shared" si="136"/>
        <v>18.518316479260903</v>
      </c>
    </row>
    <row r="226" spans="1:38" x14ac:dyDescent="0.25">
      <c r="A226" s="115"/>
      <c r="B226" s="327">
        <f t="shared" si="107"/>
        <v>1483.7431219322314</v>
      </c>
      <c r="C226" s="327">
        <f t="shared" si="108"/>
        <v>1474.8071548784098</v>
      </c>
      <c r="D226" s="327">
        <f t="shared" si="109"/>
        <v>7.1927610450956454</v>
      </c>
      <c r="E226" s="327">
        <f t="shared" si="72"/>
        <v>68.596042743754268</v>
      </c>
      <c r="F226" s="327">
        <f t="shared" si="110"/>
        <v>68.548743751537671</v>
      </c>
      <c r="G226" s="327">
        <f t="shared" si="111"/>
        <v>2622.2191720308788</v>
      </c>
      <c r="H226" s="312">
        <f t="shared" si="112"/>
        <v>0.02</v>
      </c>
      <c r="I226" s="327">
        <f t="shared" si="113"/>
        <v>5.3615802322929085</v>
      </c>
      <c r="J226" s="327">
        <f t="shared" si="74"/>
        <v>1848</v>
      </c>
      <c r="K226" s="334">
        <f t="shared" si="114"/>
        <v>-1</v>
      </c>
      <c r="L226" s="322">
        <f t="shared" si="115"/>
        <v>7.1727610450956458</v>
      </c>
      <c r="M226" s="322">
        <f t="shared" si="116"/>
        <v>7.1827610450956456</v>
      </c>
      <c r="N226" s="327">
        <f t="shared" si="117"/>
        <v>-4.8140110514800938E-2</v>
      </c>
      <c r="O226" s="327">
        <f t="shared" si="75"/>
        <v>0.23636080121724831</v>
      </c>
      <c r="P226" s="331">
        <f t="shared" si="77"/>
        <v>180.64852704872141</v>
      </c>
      <c r="Q226" s="327">
        <f t="shared" si="118"/>
        <v>786.58302762746916</v>
      </c>
      <c r="R226" s="276">
        <f>IF(H226&gt;0, rate1(1,$L$52,$L$51,$L$54,L226,$L$53,$L$50,P226),"")</f>
        <v>2268.1305833256952</v>
      </c>
      <c r="S226" s="322">
        <f t="shared" si="119"/>
        <v>1.4672396786819797</v>
      </c>
      <c r="T226" s="322">
        <f t="shared" si="120"/>
        <v>0.10303086983236893</v>
      </c>
      <c r="U226" s="327">
        <f t="shared" si="121"/>
        <v>7.1927610450956454</v>
      </c>
      <c r="V226" s="335">
        <f t="shared" si="122"/>
        <v>7.1927610450956454</v>
      </c>
      <c r="W226" s="327">
        <f t="shared" si="123"/>
        <v>1.523803478043817E-3</v>
      </c>
      <c r="X226" s="327">
        <f t="shared" si="124"/>
        <v>795.77790944806975</v>
      </c>
      <c r="Y226" s="327">
        <f t="shared" si="78"/>
        <v>181.15188300715127</v>
      </c>
      <c r="Z226" s="107">
        <f>IF(H226&gt;0, rate1(1,$L$52,$L$51,$L$54,U226,$L$53,$L$50,Y226),"")</f>
        <v>2269.0013332135641</v>
      </c>
      <c r="AA226" s="335">
        <f t="shared" si="125"/>
        <v>1.4838215512322774</v>
      </c>
      <c r="AB226" s="335">
        <f t="shared" si="126"/>
        <v>-3.1495155066216876E-3</v>
      </c>
      <c r="AC226" s="327">
        <f t="shared" si="127"/>
        <v>0.10303086983236893</v>
      </c>
      <c r="AD226" s="327">
        <f t="shared" si="128"/>
        <v>-0.19411657916253613</v>
      </c>
      <c r="AE226" s="327">
        <f t="shared" si="129"/>
        <v>-2.8152476064932062E-3</v>
      </c>
      <c r="AF226" s="327">
        <f t="shared" si="130"/>
        <v>1483.5919509518842</v>
      </c>
      <c r="AG226" s="327">
        <f t="shared" si="131"/>
        <v>1474.7041240085775</v>
      </c>
      <c r="AH226" s="327">
        <f t="shared" si="132"/>
        <v>7.1733603514760738</v>
      </c>
      <c r="AI226" s="327">
        <f t="shared" si="133"/>
        <v>45.425457682995358</v>
      </c>
      <c r="AJ226" s="327">
        <f t="shared" si="134"/>
        <v>2.8087862190774198</v>
      </c>
      <c r="AK226" s="336">
        <f t="shared" si="135"/>
        <v>25.606458804183951</v>
      </c>
      <c r="AL226" s="42">
        <f t="shared" si="136"/>
        <v>18.60234671248007</v>
      </c>
    </row>
    <row r="227" spans="1:38" x14ac:dyDescent="0.25">
      <c r="A227" s="115"/>
      <c r="B227" s="327">
        <f t="shared" si="107"/>
        <v>1483.5919509518842</v>
      </c>
      <c r="C227" s="327">
        <f t="shared" si="108"/>
        <v>1474.7041240085775</v>
      </c>
      <c r="D227" s="327">
        <f t="shared" si="109"/>
        <v>7.1733603514760738</v>
      </c>
      <c r="E227" s="327">
        <f t="shared" si="72"/>
        <v>68.690508563711361</v>
      </c>
      <c r="F227" s="327">
        <f t="shared" si="110"/>
        <v>68.643275653732815</v>
      </c>
      <c r="G227" s="327">
        <f t="shared" si="111"/>
        <v>2604.5859658829845</v>
      </c>
      <c r="H227" s="312">
        <f t="shared" si="112"/>
        <v>0.02</v>
      </c>
      <c r="I227" s="327">
        <f t="shared" si="113"/>
        <v>5.3326961659839975</v>
      </c>
      <c r="J227" s="327">
        <f t="shared" si="74"/>
        <v>1848</v>
      </c>
      <c r="K227" s="334">
        <f t="shared" si="114"/>
        <v>-1</v>
      </c>
      <c r="L227" s="322">
        <f t="shared" si="115"/>
        <v>7.1533603514760742</v>
      </c>
      <c r="M227" s="322">
        <f t="shared" si="116"/>
        <v>7.163360351476074</v>
      </c>
      <c r="N227" s="327">
        <f t="shared" si="117"/>
        <v>-4.8014270288796013E-2</v>
      </c>
      <c r="O227" s="327">
        <f t="shared" si="75"/>
        <v>0.23124497865763793</v>
      </c>
      <c r="P227" s="331">
        <f t="shared" si="77"/>
        <v>179.99746671366464</v>
      </c>
      <c r="Q227" s="327">
        <f t="shared" si="118"/>
        <v>768.89139847464958</v>
      </c>
      <c r="R227" s="276">
        <f>IF(H227&gt;0, rate1(1,$L$52,$L$51,$L$54,L227,$L$53,$L$50,P227),"")</f>
        <v>2266.9980986987507</v>
      </c>
      <c r="S227" s="322">
        <f t="shared" si="119"/>
        <v>1.4667008225678968</v>
      </c>
      <c r="T227" s="322">
        <f t="shared" si="120"/>
        <v>0.10288019212096156</v>
      </c>
      <c r="U227" s="327">
        <f t="shared" si="121"/>
        <v>7.1733603514760738</v>
      </c>
      <c r="V227" s="335">
        <f t="shared" si="122"/>
        <v>7.1733603514760738</v>
      </c>
      <c r="W227" s="327">
        <f t="shared" si="123"/>
        <v>1.5155943981106645E-3</v>
      </c>
      <c r="X227" s="327">
        <f t="shared" si="124"/>
        <v>778.05921903593298</v>
      </c>
      <c r="Y227" s="327">
        <f t="shared" si="78"/>
        <v>180.50036785353799</v>
      </c>
      <c r="Z227" s="107">
        <f>IF(H227&gt;0, rate1(1,$L$52,$L$51,$L$54,U227,$L$53,$L$50,Y227),"")</f>
        <v>2267.8734871256352</v>
      </c>
      <c r="AA227" s="335">
        <f t="shared" si="125"/>
        <v>1.4836160330524839</v>
      </c>
      <c r="AB227" s="335">
        <f t="shared" si="126"/>
        <v>-3.1338795542913407E-3</v>
      </c>
      <c r="AC227" s="327">
        <f t="shared" si="127"/>
        <v>0.10288019212096156</v>
      </c>
      <c r="AD227" s="327">
        <f t="shared" si="128"/>
        <v>-0.19440088113837276</v>
      </c>
      <c r="AE227" s="327">
        <f t="shared" si="129"/>
        <v>-2.7614055616017102E-3</v>
      </c>
      <c r="AF227" s="327">
        <f t="shared" si="130"/>
        <v>1483.4410564894745</v>
      </c>
      <c r="AG227" s="327">
        <f t="shared" si="131"/>
        <v>1474.6012438164566</v>
      </c>
      <c r="AH227" s="327">
        <f t="shared" si="132"/>
        <v>7.1539579659730075</v>
      </c>
      <c r="AI227" s="327">
        <f t="shared" si="133"/>
        <v>45.381684342838419</v>
      </c>
      <c r="AJ227" s="327">
        <f t="shared" si="134"/>
        <v>2.8213922425059859</v>
      </c>
      <c r="AK227" s="336">
        <f t="shared" si="135"/>
        <v>25.72557431021858</v>
      </c>
      <c r="AL227" s="42">
        <f t="shared" si="136"/>
        <v>18.686292958278244</v>
      </c>
    </row>
    <row r="228" spans="1:38" x14ac:dyDescent="0.25">
      <c r="A228" s="115"/>
      <c r="B228" s="327">
        <f t="shared" si="107"/>
        <v>1483.4410564894745</v>
      </c>
      <c r="C228" s="327">
        <f t="shared" si="108"/>
        <v>1474.6012438164566</v>
      </c>
      <c r="D228" s="327">
        <f t="shared" si="109"/>
        <v>7.1539579659730075</v>
      </c>
      <c r="E228" s="327">
        <f t="shared" si="72"/>
        <v>68.784851882042645</v>
      </c>
      <c r="F228" s="327">
        <f t="shared" si="110"/>
        <v>68.737680222877003</v>
      </c>
      <c r="G228" s="327">
        <f t="shared" si="111"/>
        <v>2587.0027074907307</v>
      </c>
      <c r="H228" s="312">
        <f t="shared" si="112"/>
        <v>0.02</v>
      </c>
      <c r="I228" s="327">
        <f t="shared" si="113"/>
        <v>5.3038876038106988</v>
      </c>
      <c r="J228" s="327">
        <f t="shared" si="74"/>
        <v>1848</v>
      </c>
      <c r="K228" s="334">
        <f t="shared" si="114"/>
        <v>-1</v>
      </c>
      <c r="L228" s="322">
        <f t="shared" si="115"/>
        <v>7.1339579659730079</v>
      </c>
      <c r="M228" s="322">
        <f t="shared" si="116"/>
        <v>7.1439579659730077</v>
      </c>
      <c r="N228" s="327">
        <f t="shared" si="117"/>
        <v>-4.7888396913844389E-2</v>
      </c>
      <c r="O228" s="327">
        <f t="shared" si="75"/>
        <v>0.22613861772764801</v>
      </c>
      <c r="P228" s="331">
        <f t="shared" si="77"/>
        <v>179.34693876090856</v>
      </c>
      <c r="Q228" s="327">
        <f t="shared" si="118"/>
        <v>751.24998187368556</v>
      </c>
      <c r="R228" s="276">
        <f>IF(H228&gt;0, rate1(1,$L$52,$L$51,$L$54,L228,$L$53,$L$50,P228),"")</f>
        <v>2265.8594692455126</v>
      </c>
      <c r="S228" s="322">
        <f t="shared" si="119"/>
        <v>1.4661444823738425</v>
      </c>
      <c r="T228" s="322">
        <f t="shared" si="120"/>
        <v>0.10273294809792137</v>
      </c>
      <c r="U228" s="327">
        <f t="shared" si="121"/>
        <v>7.1539579659730075</v>
      </c>
      <c r="V228" s="335">
        <f t="shared" si="122"/>
        <v>7.1539579659730075</v>
      </c>
      <c r="W228" s="327">
        <f t="shared" si="123"/>
        <v>1.507406777040643E-3</v>
      </c>
      <c r="X228" s="327">
        <f t="shared" si="124"/>
        <v>760.39041152344498</v>
      </c>
      <c r="Y228" s="327">
        <f t="shared" si="78"/>
        <v>179.84938422077209</v>
      </c>
      <c r="Z228" s="107">
        <f>IF(H228&gt;0, rate1(1,$L$52,$L$51,$L$54,U228,$L$53,$L$50,Y228),"")</f>
        <v>2266.739531262961</v>
      </c>
      <c r="AA228" s="335">
        <f t="shared" si="125"/>
        <v>1.4834068492687942</v>
      </c>
      <c r="AB228" s="335">
        <f t="shared" si="126"/>
        <v>-3.1182983429398257E-3</v>
      </c>
      <c r="AC228" s="327">
        <f t="shared" si="127"/>
        <v>0.10273294809792137</v>
      </c>
      <c r="AD228" s="327">
        <f t="shared" si="128"/>
        <v>-0.1946795100334969</v>
      </c>
      <c r="AE228" s="327">
        <f t="shared" si="129"/>
        <v>-2.7102245977813819E-3</v>
      </c>
      <c r="AF228" s="327">
        <f t="shared" si="130"/>
        <v>1483.2904351444627</v>
      </c>
      <c r="AG228" s="327">
        <f t="shared" si="131"/>
        <v>1474.4985108683588</v>
      </c>
      <c r="AH228" s="327">
        <f t="shared" si="132"/>
        <v>7.1345538882331949</v>
      </c>
      <c r="AI228" s="327">
        <f t="shared" si="133"/>
        <v>45.339505601434958</v>
      </c>
      <c r="AJ228" s="327">
        <f t="shared" si="134"/>
        <v>2.8339865496174954</v>
      </c>
      <c r="AK228" s="336">
        <f t="shared" si="135"/>
        <v>25.843774808366067</v>
      </c>
      <c r="AL228" s="42">
        <f t="shared" si="136"/>
        <v>18.77015831094381</v>
      </c>
    </row>
    <row r="229" spans="1:38" x14ac:dyDescent="0.25">
      <c r="A229" s="115"/>
      <c r="B229" s="327">
        <f t="shared" si="107"/>
        <v>1483.2904351444627</v>
      </c>
      <c r="C229" s="327">
        <f t="shared" si="108"/>
        <v>1474.4985108683588</v>
      </c>
      <c r="D229" s="327">
        <f t="shared" si="109"/>
        <v>7.1345538882331949</v>
      </c>
      <c r="E229" s="327">
        <f t="shared" si="72"/>
        <v>68.879081924042211</v>
      </c>
      <c r="F229" s="327">
        <f t="shared" si="110"/>
        <v>68.831966903042428</v>
      </c>
      <c r="G229" s="327">
        <f t="shared" si="111"/>
        <v>2569.4700507450216</v>
      </c>
      <c r="H229" s="312">
        <f t="shared" si="112"/>
        <v>0.02</v>
      </c>
      <c r="I229" s="327">
        <f t="shared" si="113"/>
        <v>5.2751545656622962</v>
      </c>
      <c r="J229" s="327">
        <f t="shared" si="74"/>
        <v>1848</v>
      </c>
      <c r="K229" s="334">
        <f t="shared" si="114"/>
        <v>-1</v>
      </c>
      <c r="L229" s="322">
        <f t="shared" si="115"/>
        <v>7.1145538882331953</v>
      </c>
      <c r="M229" s="322">
        <f t="shared" si="116"/>
        <v>7.1245538882331951</v>
      </c>
      <c r="N229" s="327">
        <f t="shared" si="117"/>
        <v>-4.776249038182101E-2</v>
      </c>
      <c r="O229" s="327">
        <f t="shared" si="75"/>
        <v>0.22104159721728706</v>
      </c>
      <c r="P229" s="331">
        <f t="shared" si="77"/>
        <v>178.69694439888528</v>
      </c>
      <c r="Q229" s="327">
        <f t="shared" si="118"/>
        <v>733.6594209349023</v>
      </c>
      <c r="R229" s="276">
        <f>IF(H229&gt;0, rate1(1,$L$52,$L$51,$L$54,L229,$L$53,$L$50,P229),"")</f>
        <v>2264.714648105778</v>
      </c>
      <c r="S229" s="322">
        <f t="shared" si="119"/>
        <v>1.4655714613624016</v>
      </c>
      <c r="T229" s="322">
        <f t="shared" si="120"/>
        <v>0.1025889564666478</v>
      </c>
      <c r="U229" s="327">
        <f t="shared" si="121"/>
        <v>7.1345538882331949</v>
      </c>
      <c r="V229" s="335">
        <f t="shared" si="122"/>
        <v>7.1345538882331949</v>
      </c>
      <c r="W229" s="327">
        <f t="shared" si="123"/>
        <v>1.499240620507436E-3</v>
      </c>
      <c r="X229" s="327">
        <f t="shared" si="124"/>
        <v>742.77214569768375</v>
      </c>
      <c r="Y229" s="327">
        <f t="shared" si="78"/>
        <v>179.19893331333745</v>
      </c>
      <c r="Z229" s="107">
        <f>IF(H229&gt;0, rate1(1,$L$52,$L$51,$L$54,U229,$L$53,$L$50,Y229),"")</f>
        <v>2265.5994191048476</v>
      </c>
      <c r="AA229" s="335">
        <f t="shared" si="125"/>
        <v>1.4831957569523677</v>
      </c>
      <c r="AB229" s="335">
        <f t="shared" si="126"/>
        <v>-3.1027603180199853E-3</v>
      </c>
      <c r="AC229" s="327">
        <f t="shared" si="127"/>
        <v>0.1025889564666478</v>
      </c>
      <c r="AD229" s="327">
        <f t="shared" si="128"/>
        <v>-0.1949527579657378</v>
      </c>
      <c r="AE229" s="327">
        <f t="shared" si="129"/>
        <v>-2.661653980079553E-3</v>
      </c>
      <c r="AF229" s="327">
        <f t="shared" si="130"/>
        <v>1483.1400836976143</v>
      </c>
      <c r="AG229" s="327">
        <f t="shared" si="131"/>
        <v>1474.3959219118922</v>
      </c>
      <c r="AH229" s="327">
        <f t="shared" si="132"/>
        <v>7.1151481179018354</v>
      </c>
      <c r="AI229" s="327">
        <f t="shared" si="133"/>
        <v>45.298844405167713</v>
      </c>
      <c r="AJ229" s="327">
        <f t="shared" si="134"/>
        <v>2.8465695619522644</v>
      </c>
      <c r="AK229" s="336">
        <f t="shared" si="135"/>
        <v>25.96106823211327</v>
      </c>
      <c r="AL229" s="42">
        <f t="shared" si="136"/>
        <v>18.853945717295261</v>
      </c>
    </row>
    <row r="230" spans="1:38" x14ac:dyDescent="0.25">
      <c r="A230" s="115"/>
      <c r="B230" s="327">
        <f t="shared" si="107"/>
        <v>1483.1400836976143</v>
      </c>
      <c r="C230" s="327">
        <f t="shared" si="108"/>
        <v>1474.3959219118922</v>
      </c>
      <c r="D230" s="327">
        <f t="shared" si="109"/>
        <v>7.1151481179018354</v>
      </c>
      <c r="E230" s="327">
        <f t="shared" si="72"/>
        <v>68.973207492947267</v>
      </c>
      <c r="F230" s="327">
        <f t="shared" si="110"/>
        <v>68.926144708494746</v>
      </c>
      <c r="G230" s="327">
        <f t="shared" si="111"/>
        <v>2551.988619153713</v>
      </c>
      <c r="H230" s="312">
        <f t="shared" si="112"/>
        <v>0.02</v>
      </c>
      <c r="I230" s="327">
        <f t="shared" si="113"/>
        <v>5.2464970714332591</v>
      </c>
      <c r="J230" s="327">
        <f t="shared" si="74"/>
        <v>1848</v>
      </c>
      <c r="K230" s="334">
        <f t="shared" si="114"/>
        <v>-1</v>
      </c>
      <c r="L230" s="322">
        <f t="shared" si="115"/>
        <v>7.0951481179018359</v>
      </c>
      <c r="M230" s="322">
        <f t="shared" si="116"/>
        <v>7.1051481179018356</v>
      </c>
      <c r="N230" s="327">
        <f t="shared" si="117"/>
        <v>-4.7636550684650558E-2</v>
      </c>
      <c r="O230" s="327">
        <f t="shared" si="75"/>
        <v>0.21595380226071151</v>
      </c>
      <c r="P230" s="331">
        <f t="shared" si="77"/>
        <v>178.04748484142911</v>
      </c>
      <c r="Q230" s="327">
        <f t="shared" si="118"/>
        <v>716.12032889335842</v>
      </c>
      <c r="R230" s="276">
        <f>IF(H230&gt;0, rate1(1,$L$52,$L$51,$L$54,L230,$L$53,$L$50,P230),"")</f>
        <v>2263.5635879625411</v>
      </c>
      <c r="S230" s="322">
        <f t="shared" si="119"/>
        <v>1.4649825385339916</v>
      </c>
      <c r="T230" s="322">
        <f t="shared" si="120"/>
        <v>0.10244804210248463</v>
      </c>
      <c r="U230" s="327">
        <f t="shared" si="121"/>
        <v>7.1151481179018354</v>
      </c>
      <c r="V230" s="335">
        <f t="shared" si="122"/>
        <v>7.1151481179018354</v>
      </c>
      <c r="W230" s="327">
        <f t="shared" si="123"/>
        <v>1.4910959341492003E-3</v>
      </c>
      <c r="X230" s="327">
        <f t="shared" si="124"/>
        <v>725.20504976499342</v>
      </c>
      <c r="Y230" s="327">
        <f t="shared" si="78"/>
        <v>178.549016341091</v>
      </c>
      <c r="Z230" s="107">
        <f>IF(H230&gt;0, rate1(1,$L$52,$L$51,$L$54,U230,$L$53,$L$50,Y230),"")</f>
        <v>2264.4531036777817</v>
      </c>
      <c r="AA230" s="335">
        <f t="shared" si="125"/>
        <v>1.4829845741166576</v>
      </c>
      <c r="AB230" s="335">
        <f t="shared" si="126"/>
        <v>-3.0872537427852685E-3</v>
      </c>
      <c r="AC230" s="327">
        <f t="shared" si="127"/>
        <v>0.10244804210248463</v>
      </c>
      <c r="AD230" s="327">
        <f t="shared" si="128"/>
        <v>-0.19522090993201077</v>
      </c>
      <c r="AE230" s="327">
        <f t="shared" si="129"/>
        <v>-2.6156446704184429E-3</v>
      </c>
      <c r="AF230" s="327">
        <f t="shared" si="130"/>
        <v>1482.9899991048271</v>
      </c>
      <c r="AG230" s="327">
        <f t="shared" si="131"/>
        <v>1474.2934738697898</v>
      </c>
      <c r="AH230" s="327">
        <f t="shared" si="132"/>
        <v>7.0957406546220074</v>
      </c>
      <c r="AI230" s="327">
        <f t="shared" si="133"/>
        <v>45.259626302214578</v>
      </c>
      <c r="AJ230" s="327">
        <f t="shared" si="134"/>
        <v>2.8591416803695462</v>
      </c>
      <c r="AK230" s="336">
        <f t="shared" si="135"/>
        <v>26.077462256145708</v>
      </c>
      <c r="AL230" s="42">
        <f t="shared" si="136"/>
        <v>18.937657981756011</v>
      </c>
    </row>
    <row r="231" spans="1:38" x14ac:dyDescent="0.25">
      <c r="A231" s="115"/>
      <c r="B231" s="327">
        <f t="shared" si="107"/>
        <v>1482.9899991048271</v>
      </c>
      <c r="C231" s="327">
        <f t="shared" si="108"/>
        <v>1474.2934738697898</v>
      </c>
      <c r="D231" s="327">
        <f t="shared" si="109"/>
        <v>7.0957406546220074</v>
      </c>
      <c r="E231" s="327">
        <f t="shared" si="72"/>
        <v>69.067236984627385</v>
      </c>
      <c r="F231" s="327">
        <f t="shared" si="110"/>
        <v>69.020222238787326</v>
      </c>
      <c r="G231" s="327">
        <f t="shared" si="111"/>
        <v>2534.5590072050718</v>
      </c>
      <c r="H231" s="312">
        <f t="shared" si="112"/>
        <v>0.02</v>
      </c>
      <c r="I231" s="327">
        <f t="shared" si="113"/>
        <v>5.2179151410224218</v>
      </c>
      <c r="J231" s="327">
        <f t="shared" si="74"/>
        <v>1848</v>
      </c>
      <c r="K231" s="334">
        <f t="shared" si="114"/>
        <v>-1</v>
      </c>
      <c r="L231" s="322">
        <f t="shared" si="115"/>
        <v>7.0757406546220079</v>
      </c>
      <c r="M231" s="322">
        <f t="shared" si="116"/>
        <v>7.0857406546220076</v>
      </c>
      <c r="N231" s="327">
        <f t="shared" si="117"/>
        <v>-4.7510577814200872E-2</v>
      </c>
      <c r="O231" s="327">
        <f t="shared" si="75"/>
        <v>0.2108751241163285</v>
      </c>
      <c r="P231" s="331">
        <f t="shared" si="77"/>
        <v>177.39856130779773</v>
      </c>
      <c r="Q231" s="327">
        <f t="shared" si="118"/>
        <v>698.63329044596048</v>
      </c>
      <c r="R231" s="276">
        <f>IF(H231&gt;0, rate1(1,$L$52,$L$51,$L$54,L231,$L$53,$L$50,P231),"")</f>
        <v>2262.40624103658</v>
      </c>
      <c r="S231" s="322">
        <f t="shared" si="119"/>
        <v>1.4643784695366968</v>
      </c>
      <c r="T231" s="322">
        <f t="shared" si="120"/>
        <v>0.10231003573787871</v>
      </c>
      <c r="U231" s="327">
        <f t="shared" si="121"/>
        <v>7.0957406546220074</v>
      </c>
      <c r="V231" s="335">
        <f t="shared" si="122"/>
        <v>7.0957406546220074</v>
      </c>
      <c r="W231" s="327">
        <f t="shared" si="123"/>
        <v>1.4829727236254087E-3</v>
      </c>
      <c r="X231" s="327">
        <f t="shared" si="124"/>
        <v>707.68972272299425</v>
      </c>
      <c r="Y231" s="327">
        <f t="shared" si="78"/>
        <v>177.89963451928358</v>
      </c>
      <c r="Z231" s="107">
        <f>IF(H231&gt;0, rate1(1,$L$52,$L$51,$L$54,U231,$L$53,$L$50,Y231),"")</f>
        <v>2263.3005375500661</v>
      </c>
      <c r="AA231" s="335">
        <f t="shared" si="125"/>
        <v>1.4827751905852029</v>
      </c>
      <c r="AB231" s="335">
        <f t="shared" si="126"/>
        <v>-3.071766637029964E-3</v>
      </c>
      <c r="AC231" s="327">
        <f t="shared" si="127"/>
        <v>0.10231003573787871</v>
      </c>
      <c r="AD231" s="327">
        <f t="shared" si="128"/>
        <v>-0.19548424409938223</v>
      </c>
      <c r="AE231" s="327">
        <f t="shared" si="129"/>
        <v>-2.5721492421584328E-3</v>
      </c>
      <c r="AF231" s="327">
        <f t="shared" si="130"/>
        <v>1482.8401784912751</v>
      </c>
      <c r="AG231" s="327">
        <f t="shared" si="131"/>
        <v>1474.1911638340518</v>
      </c>
      <c r="AH231" s="327">
        <f t="shared" si="132"/>
        <v>7.0763314980352856</v>
      </c>
      <c r="AI231" s="327">
        <f t="shared" si="133"/>
        <v>45.221779308300846</v>
      </c>
      <c r="AJ231" s="327">
        <f t="shared" si="134"/>
        <v>2.8717032857329632</v>
      </c>
      <c r="AK231" s="336">
        <f t="shared" si="135"/>
        <v>26.192964307376108</v>
      </c>
      <c r="AL231" s="42">
        <f t="shared" si="136"/>
        <v>19.021297771162505</v>
      </c>
    </row>
    <row r="232" spans="1:38" x14ac:dyDescent="0.25">
      <c r="A232" s="115"/>
      <c r="B232" s="327">
        <f t="shared" si="107"/>
        <v>1482.8401784912751</v>
      </c>
      <c r="C232" s="327">
        <f t="shared" si="108"/>
        <v>1474.1911638340518</v>
      </c>
      <c r="D232" s="327">
        <f t="shared" si="109"/>
        <v>7.0763314980352856</v>
      </c>
      <c r="E232" s="327">
        <f t="shared" si="72"/>
        <v>69.161178401535324</v>
      </c>
      <c r="F232" s="327">
        <f t="shared" si="110"/>
        <v>69.114207693081354</v>
      </c>
      <c r="G232" s="327">
        <f t="shared" si="111"/>
        <v>2517.1817816656835</v>
      </c>
      <c r="H232" s="312">
        <f t="shared" si="112"/>
        <v>0.02</v>
      </c>
      <c r="I232" s="327">
        <f t="shared" si="113"/>
        <v>5.1894087943339402</v>
      </c>
      <c r="J232" s="327">
        <f t="shared" si="74"/>
        <v>1848</v>
      </c>
      <c r="K232" s="334">
        <f t="shared" si="114"/>
        <v>-1</v>
      </c>
      <c r="L232" s="322">
        <f t="shared" si="115"/>
        <v>7.056331498035286</v>
      </c>
      <c r="M232" s="322">
        <f t="shared" si="116"/>
        <v>7.0663314980352858</v>
      </c>
      <c r="N232" s="327">
        <f t="shared" si="117"/>
        <v>-4.7384571762329131E-2</v>
      </c>
      <c r="O232" s="327">
        <f t="shared" si="75"/>
        <v>0.20580545995828853</v>
      </c>
      <c r="P232" s="331">
        <f t="shared" si="77"/>
        <v>176.75017502273337</v>
      </c>
      <c r="Q232" s="327">
        <f t="shared" si="118"/>
        <v>681.19886302512487</v>
      </c>
      <c r="R232" s="276">
        <f>IF(H232&gt;0, rate1(1,$L$52,$L$51,$L$54,L232,$L$53,$L$50,P232),"")</f>
        <v>2261.242559081034</v>
      </c>
      <c r="S232" s="322">
        <f t="shared" si="119"/>
        <v>1.4637599875272478</v>
      </c>
      <c r="T232" s="322">
        <f t="shared" si="120"/>
        <v>0.10217477366898776</v>
      </c>
      <c r="U232" s="327">
        <f t="shared" si="121"/>
        <v>7.0763314980352856</v>
      </c>
      <c r="V232" s="335">
        <f t="shared" si="122"/>
        <v>7.0763314980352856</v>
      </c>
      <c r="W232" s="327">
        <f t="shared" si="123"/>
        <v>1.4748709945884286E-3</v>
      </c>
      <c r="X232" s="327">
        <f t="shared" si="124"/>
        <v>690.22673566668163</v>
      </c>
      <c r="Y232" s="327">
        <f t="shared" si="78"/>
        <v>177.25078906862069</v>
      </c>
      <c r="Z232" s="107">
        <f>IF(H232&gt;0, rate1(1,$L$52,$L$51,$L$54,U232,$L$53,$L$50,Y232),"")</f>
        <v>2262.1416728264571</v>
      </c>
      <c r="AA232" s="335">
        <f t="shared" si="125"/>
        <v>1.4825695802259686</v>
      </c>
      <c r="AB232" s="335">
        <f t="shared" si="126"/>
        <v>-3.0562867097793517E-3</v>
      </c>
      <c r="AC232" s="327">
        <f t="shared" si="127"/>
        <v>0.10217477366898776</v>
      </c>
      <c r="AD232" s="327">
        <f t="shared" si="128"/>
        <v>-0.19574303207945767</v>
      </c>
      <c r="AE232" s="327">
        <f t="shared" si="129"/>
        <v>-2.5311218063199352E-3</v>
      </c>
      <c r="AF232" s="327">
        <f t="shared" si="130"/>
        <v>1482.6906191458438</v>
      </c>
      <c r="AG232" s="327">
        <f t="shared" si="131"/>
        <v>1474.0889890603828</v>
      </c>
      <c r="AH232" s="327">
        <f t="shared" si="132"/>
        <v>7.0569206477812534</v>
      </c>
      <c r="AI232" s="327">
        <f t="shared" si="133"/>
        <v>45.185233781603444</v>
      </c>
      <c r="AJ232" s="327">
        <f t="shared" si="134"/>
        <v>2.8842547395611864</v>
      </c>
      <c r="AK232" s="336">
        <f t="shared" si="135"/>
        <v>26.307581575443802</v>
      </c>
      <c r="AL232" s="42">
        <f t="shared" si="136"/>
        <v>19.104867619324246</v>
      </c>
    </row>
    <row r="233" spans="1:38" x14ac:dyDescent="0.25">
      <c r="A233" s="115"/>
      <c r="B233" s="327">
        <f t="shared" si="107"/>
        <v>1482.6906191458438</v>
      </c>
      <c r="C233" s="327">
        <f t="shared" si="108"/>
        <v>1474.0889890603828</v>
      </c>
      <c r="D233" s="327">
        <f t="shared" si="109"/>
        <v>7.0569206477812534</v>
      </c>
      <c r="E233" s="327">
        <f t="shared" si="72"/>
        <v>69.255039365949983</v>
      </c>
      <c r="F233" s="327">
        <f t="shared" si="110"/>
        <v>69.208108883742653</v>
      </c>
      <c r="G233" s="327">
        <f t="shared" si="111"/>
        <v>2499.8574828144269</v>
      </c>
      <c r="H233" s="312">
        <f t="shared" si="112"/>
        <v>0.02</v>
      </c>
      <c r="I233" s="327">
        <f t="shared" si="113"/>
        <v>5.1609780512766061</v>
      </c>
      <c r="J233" s="327">
        <f t="shared" si="74"/>
        <v>1848</v>
      </c>
      <c r="K233" s="334">
        <f t="shared" si="114"/>
        <v>-1</v>
      </c>
      <c r="L233" s="322">
        <f t="shared" si="115"/>
        <v>7.0369206477812538</v>
      </c>
      <c r="M233" s="322">
        <f t="shared" si="116"/>
        <v>7.0469206477812536</v>
      </c>
      <c r="N233" s="327">
        <f t="shared" si="117"/>
        <v>-4.7258532520903174E-2</v>
      </c>
      <c r="O233" s="327">
        <f t="shared" si="75"/>
        <v>0.20074471267866939</v>
      </c>
      <c r="P233" s="331">
        <f t="shared" si="77"/>
        <v>176.10232721648703</v>
      </c>
      <c r="Q233" s="327">
        <f t="shared" si="118"/>
        <v>663.81757800973082</v>
      </c>
      <c r="R233" s="276">
        <f>IF(H233&gt;0, rate1(1,$L$52,$L$51,$L$54,L233,$L$53,$L$50,P233),"")</f>
        <v>2260.0724933758438</v>
      </c>
      <c r="S233" s="322">
        <f t="shared" si="119"/>
        <v>1.4631278039787765</v>
      </c>
      <c r="T233" s="322">
        <f t="shared" si="120"/>
        <v>0.10204209748346023</v>
      </c>
      <c r="U233" s="327">
        <f t="shared" si="121"/>
        <v>7.0569206477812534</v>
      </c>
      <c r="V233" s="335">
        <f t="shared" si="122"/>
        <v>7.0569206477812534</v>
      </c>
      <c r="W233" s="327">
        <f t="shared" si="123"/>
        <v>1.4667907527119439E-3</v>
      </c>
      <c r="X233" s="327">
        <f t="shared" si="124"/>
        <v>672.81663303020787</v>
      </c>
      <c r="Y233" s="327">
        <f t="shared" si="78"/>
        <v>176.60248121528659</v>
      </c>
      <c r="Z233" s="107">
        <f>IF(H233&gt;0, rate1(1,$L$52,$L$51,$L$54,U233,$L$53,$L$50,Y233),"")</f>
        <v>2260.9764611426554</v>
      </c>
      <c r="AA233" s="335">
        <f t="shared" si="125"/>
        <v>1.4823698147909394</v>
      </c>
      <c r="AB233" s="335">
        <f t="shared" si="126"/>
        <v>-3.0408012851045737E-3</v>
      </c>
      <c r="AC233" s="327">
        <f t="shared" si="127"/>
        <v>0.10204209748346023</v>
      </c>
      <c r="AD233" s="327">
        <f t="shared" si="128"/>
        <v>-0.19599753918466598</v>
      </c>
      <c r="AE233" s="327">
        <f t="shared" si="129"/>
        <v>-2.4925179175653098E-3</v>
      </c>
      <c r="AF233" s="327">
        <f t="shared" si="130"/>
        <v>1482.5413185158395</v>
      </c>
      <c r="AG233" s="327">
        <f t="shared" si="131"/>
        <v>1473.9869469628993</v>
      </c>
      <c r="AH233" s="327">
        <f t="shared" si="132"/>
        <v>7.0375081034976619</v>
      </c>
      <c r="AI233" s="327">
        <f t="shared" si="133"/>
        <v>45.149922306713776</v>
      </c>
      <c r="AJ233" s="327">
        <f t="shared" si="134"/>
        <v>2.8967963846463847</v>
      </c>
      <c r="AK233" s="336">
        <f t="shared" si="135"/>
        <v>26.421321022719159</v>
      </c>
      <c r="AL233" s="42">
        <f t="shared" si="136"/>
        <v>19.18836993135265</v>
      </c>
    </row>
    <row r="234" spans="1:38" x14ac:dyDescent="0.25">
      <c r="A234" s="115"/>
      <c r="B234" s="327">
        <f t="shared" si="107"/>
        <v>1482.5413185158395</v>
      </c>
      <c r="C234" s="327">
        <f t="shared" si="108"/>
        <v>1473.9869469628993</v>
      </c>
      <c r="D234" s="327">
        <f t="shared" si="109"/>
        <v>7.0375081034976619</v>
      </c>
      <c r="E234" s="327">
        <f t="shared" si="72"/>
        <v>69.348827132576119</v>
      </c>
      <c r="F234" s="327">
        <f t="shared" si="110"/>
        <v>69.301933249263044</v>
      </c>
      <c r="G234" s="327">
        <f t="shared" si="111"/>
        <v>2482.5866256182098</v>
      </c>
      <c r="H234" s="312">
        <f t="shared" si="112"/>
        <v>0.02</v>
      </c>
      <c r="I234" s="327">
        <f t="shared" si="113"/>
        <v>5.1326229317641259</v>
      </c>
      <c r="J234" s="327">
        <f t="shared" si="74"/>
        <v>1848</v>
      </c>
      <c r="K234" s="334">
        <f t="shared" si="114"/>
        <v>-1</v>
      </c>
      <c r="L234" s="322">
        <f t="shared" si="115"/>
        <v>7.0175081034976623</v>
      </c>
      <c r="M234" s="322">
        <f t="shared" si="116"/>
        <v>7.0275081034976621</v>
      </c>
      <c r="N234" s="327">
        <f t="shared" si="117"/>
        <v>-4.7132460081748206E-2</v>
      </c>
      <c r="O234" s="327">
        <f t="shared" si="75"/>
        <v>0.19569279069952178</v>
      </c>
      <c r="P234" s="331">
        <f t="shared" si="77"/>
        <v>175.45501912486546</v>
      </c>
      <c r="Q234" s="327">
        <f t="shared" si="118"/>
        <v>646.48994187961989</v>
      </c>
      <c r="R234" s="276">
        <f>IF(H234&gt;0, rate1(1,$L$52,$L$51,$L$54,L234,$L$53,$L$50,P234),"")</f>
        <v>2258.8959947221529</v>
      </c>
      <c r="S234" s="322">
        <f t="shared" si="119"/>
        <v>1.4624826094435448</v>
      </c>
      <c r="T234" s="322">
        <f t="shared" si="120"/>
        <v>0.10191185380669252</v>
      </c>
      <c r="U234" s="327">
        <f t="shared" si="121"/>
        <v>7.0375081034976619</v>
      </c>
      <c r="V234" s="335">
        <f t="shared" si="122"/>
        <v>7.0375081034976619</v>
      </c>
      <c r="W234" s="327">
        <f t="shared" si="123"/>
        <v>1.4587320036270057E-3</v>
      </c>
      <c r="X234" s="327">
        <f t="shared" si="124"/>
        <v>655.45993377001605</v>
      </c>
      <c r="Y234" s="327">
        <f t="shared" si="78"/>
        <v>175.95471219099107</v>
      </c>
      <c r="Z234" s="107">
        <f>IF(H234&gt;0, rate1(1,$L$52,$L$51,$L$54,U234,$L$53,$L$50,Y234),"")</f>
        <v>2259.8048536597698</v>
      </c>
      <c r="AA234" s="335">
        <f t="shared" si="125"/>
        <v>1.4821780796575093</v>
      </c>
      <c r="AB234" s="335">
        <f t="shared" si="126"/>
        <v>-3.0252972193658039E-3</v>
      </c>
      <c r="AC234" s="327">
        <f t="shared" si="127"/>
        <v>0.10191185380669252</v>
      </c>
      <c r="AD234" s="327">
        <f t="shared" si="128"/>
        <v>-0.19624802466979172</v>
      </c>
      <c r="AE234" s="327">
        <f t="shared" si="129"/>
        <v>-2.4562945070810572E-3</v>
      </c>
      <c r="AF234" s="327">
        <f t="shared" si="130"/>
        <v>1482.3922742019511</v>
      </c>
      <c r="AG234" s="327">
        <f t="shared" si="131"/>
        <v>1473.8850351090925</v>
      </c>
      <c r="AH234" s="327">
        <f t="shared" si="132"/>
        <v>7.018093864820405</v>
      </c>
      <c r="AI234" s="327">
        <f t="shared" si="133"/>
        <v>45.115779586491229</v>
      </c>
      <c r="AJ234" s="327">
        <f t="shared" si="134"/>
        <v>2.9093285456426323</v>
      </c>
      <c r="AK234" s="336">
        <f t="shared" si="135"/>
        <v>26.534189393846088</v>
      </c>
      <c r="AL234" s="42">
        <f t="shared" si="136"/>
        <v>19.271806987775456</v>
      </c>
    </row>
    <row r="235" spans="1:38" x14ac:dyDescent="0.25">
      <c r="A235" s="115"/>
      <c r="B235" s="327">
        <f t="shared" si="107"/>
        <v>1482.3922742019511</v>
      </c>
      <c r="C235" s="327">
        <f t="shared" si="108"/>
        <v>1473.8850351090925</v>
      </c>
      <c r="D235" s="327">
        <f t="shared" si="109"/>
        <v>7.018093864820405</v>
      </c>
      <c r="E235" s="327">
        <f t="shared" si="72"/>
        <v>69.442548600536966</v>
      </c>
      <c r="F235" s="327">
        <f t="shared" si="110"/>
        <v>69.395687866556543</v>
      </c>
      <c r="G235" s="327">
        <f t="shared" si="111"/>
        <v>2465.3697008522086</v>
      </c>
      <c r="H235" s="312">
        <f t="shared" si="112"/>
        <v>0.02</v>
      </c>
      <c r="I235" s="327">
        <f t="shared" si="113"/>
        <v>5.1043434557151155</v>
      </c>
      <c r="J235" s="327">
        <f t="shared" si="74"/>
        <v>1848</v>
      </c>
      <c r="K235" s="334">
        <f t="shared" si="114"/>
        <v>-1</v>
      </c>
      <c r="L235" s="322">
        <f t="shared" si="115"/>
        <v>6.9980938648204054</v>
      </c>
      <c r="M235" s="322">
        <f t="shared" si="116"/>
        <v>7.0080938648204052</v>
      </c>
      <c r="N235" s="327">
        <f t="shared" si="117"/>
        <v>-4.7006354436689435E-2</v>
      </c>
      <c r="O235" s="327">
        <f t="shared" si="75"/>
        <v>0.19064960779413875</v>
      </c>
      <c r="P235" s="331">
        <f t="shared" si="77"/>
        <v>174.80825198927198</v>
      </c>
      <c r="Q235" s="327">
        <f t="shared" si="118"/>
        <v>629.21643731584891</v>
      </c>
      <c r="R235" s="276">
        <f>IF(H235&gt;0, rate1(1,$L$52,$L$51,$L$54,L235,$L$53,$L$50,P235),"")</f>
        <v>2257.7130134366198</v>
      </c>
      <c r="S235" s="322">
        <f t="shared" si="119"/>
        <v>1.4618250742700376</v>
      </c>
      <c r="T235" s="322">
        <f t="shared" si="120"/>
        <v>0.10178389406635803</v>
      </c>
      <c r="U235" s="327">
        <f t="shared" si="121"/>
        <v>7.018093864820405</v>
      </c>
      <c r="V235" s="335">
        <f t="shared" si="122"/>
        <v>7.018093864820405</v>
      </c>
      <c r="W235" s="327">
        <f t="shared" si="123"/>
        <v>1.4506947530286141E-3</v>
      </c>
      <c r="X235" s="327">
        <f t="shared" si="124"/>
        <v>638.15713249219698</v>
      </c>
      <c r="Y235" s="327">
        <f t="shared" si="78"/>
        <v>175.30748323300961</v>
      </c>
      <c r="Z235" s="107">
        <f>IF(H235&gt;0, rate1(1,$L$52,$L$51,$L$54,U235,$L$53,$L$50,Y235),"")</f>
        <v>2258.6268010586837</v>
      </c>
      <c r="AA235" s="335">
        <f t="shared" si="125"/>
        <v>1.4819966918213763</v>
      </c>
      <c r="AB235" s="335">
        <f t="shared" si="126"/>
        <v>-3.0097608088277684E-3</v>
      </c>
      <c r="AC235" s="327">
        <f t="shared" si="127"/>
        <v>0.10178389406635803</v>
      </c>
      <c r="AD235" s="327">
        <f t="shared" si="128"/>
        <v>-0.19649474195751437</v>
      </c>
      <c r="AE235" s="327">
        <f t="shared" si="129"/>
        <v>-2.4224097979347165E-3</v>
      </c>
      <c r="AF235" s="327">
        <f t="shared" si="130"/>
        <v>1482.243483953448</v>
      </c>
      <c r="AG235" s="327">
        <f t="shared" si="131"/>
        <v>1473.7832512150262</v>
      </c>
      <c r="AH235" s="327">
        <f t="shared" si="132"/>
        <v>6.998677931383491</v>
      </c>
      <c r="AI235" s="327">
        <f t="shared" si="133"/>
        <v>45.082742341740676</v>
      </c>
      <c r="AJ235" s="327">
        <f t="shared" si="134"/>
        <v>2.9218515296264491</v>
      </c>
      <c r="AK235" s="336">
        <f t="shared" si="135"/>
        <v>26.646193224851849</v>
      </c>
      <c r="AL235" s="42">
        <f t="shared" si="136"/>
        <v>19.355180948451292</v>
      </c>
    </row>
    <row r="236" spans="1:38" x14ac:dyDescent="0.25">
      <c r="A236" s="115"/>
      <c r="B236" s="327">
        <f t="shared" si="107"/>
        <v>1482.243483953448</v>
      </c>
      <c r="C236" s="327">
        <f t="shared" si="108"/>
        <v>1473.7832512150262</v>
      </c>
      <c r="D236" s="327">
        <f t="shared" si="109"/>
        <v>6.998677931383491</v>
      </c>
      <c r="E236" s="327">
        <f t="shared" si="72"/>
        <v>69.536210324802582</v>
      </c>
      <c r="F236" s="327">
        <f t="shared" si="110"/>
        <v>69.489379462669774</v>
      </c>
      <c r="G236" s="327">
        <f t="shared" si="111"/>
        <v>2448.2071761680199</v>
      </c>
      <c r="H236" s="312">
        <f t="shared" si="112"/>
        <v>0.02</v>
      </c>
      <c r="I236" s="327">
        <f t="shared" si="113"/>
        <v>5.0761396430531018</v>
      </c>
      <c r="J236" s="327">
        <f t="shared" si="74"/>
        <v>1848</v>
      </c>
      <c r="K236" s="334">
        <f t="shared" si="114"/>
        <v>-1</v>
      </c>
      <c r="L236" s="322">
        <f t="shared" si="115"/>
        <v>6.9786779313834915</v>
      </c>
      <c r="M236" s="322">
        <f t="shared" si="116"/>
        <v>6.9886779313834912</v>
      </c>
      <c r="N236" s="327">
        <f t="shared" si="117"/>
        <v>-4.6880215577544959E-2</v>
      </c>
      <c r="O236" s="327">
        <f t="shared" si="75"/>
        <v>0.18561508291688145</v>
      </c>
      <c r="P236" s="331">
        <f t="shared" si="77"/>
        <v>174.16202705674766</v>
      </c>
      <c r="Q236" s="327">
        <f t="shared" si="118"/>
        <v>611.9975242501705</v>
      </c>
      <c r="R236" s="276">
        <f>IF(H236&gt;0, rate1(1,$L$52,$L$51,$L$54,L236,$L$53,$L$50,P236),"")</f>
        <v>2256.5234993456552</v>
      </c>
      <c r="S236" s="322">
        <f t="shared" si="119"/>
        <v>1.4611558492770729</v>
      </c>
      <c r="T236" s="322">
        <f t="shared" si="120"/>
        <v>0.10165807427366766</v>
      </c>
      <c r="U236" s="327">
        <f t="shared" si="121"/>
        <v>6.998677931383491</v>
      </c>
      <c r="V236" s="335">
        <f t="shared" si="122"/>
        <v>6.998677931383491</v>
      </c>
      <c r="W236" s="327">
        <f t="shared" si="123"/>
        <v>1.4426790065549255E-3</v>
      </c>
      <c r="X236" s="327">
        <f t="shared" si="124"/>
        <v>620.90870052739911</v>
      </c>
      <c r="Y236" s="327">
        <f t="shared" si="78"/>
        <v>174.66079558422447</v>
      </c>
      <c r="Z236" s="107">
        <f>IF(H236&gt;0, rate1(1,$L$52,$L$51,$L$54,U236,$L$53,$L$50,Y236),"")</f>
        <v>2257.4422535343506</v>
      </c>
      <c r="AA236" s="335">
        <f t="shared" si="125"/>
        <v>1.4818281205655768</v>
      </c>
      <c r="AB236" s="335">
        <f t="shared" si="126"/>
        <v>-2.9941776849003502E-3</v>
      </c>
      <c r="AC236" s="327">
        <f t="shared" si="127"/>
        <v>0.10165807427366766</v>
      </c>
      <c r="AD236" s="327">
        <f t="shared" si="128"/>
        <v>-0.19673793884939419</v>
      </c>
      <c r="AE236" s="327">
        <f t="shared" si="129"/>
        <v>-2.3908232294857705E-3</v>
      </c>
      <c r="AF236" s="327">
        <f t="shared" si="130"/>
        <v>1482.0949456635969</v>
      </c>
      <c r="AG236" s="327">
        <f t="shared" si="131"/>
        <v>1473.6815931407525</v>
      </c>
      <c r="AH236" s="327">
        <f t="shared" si="132"/>
        <v>6.9792603028191103</v>
      </c>
      <c r="AI236" s="327">
        <f t="shared" si="133"/>
        <v>45.050749218054399</v>
      </c>
      <c r="AJ236" s="327">
        <f t="shared" si="134"/>
        <v>2.9343656266314642</v>
      </c>
      <c r="AK236" s="336">
        <f t="shared" si="135"/>
        <v>26.757338851852502</v>
      </c>
      <c r="AL236" s="42">
        <f t="shared" si="136"/>
        <v>19.438493856298827</v>
      </c>
    </row>
    <row r="237" spans="1:38" x14ac:dyDescent="0.25">
      <c r="A237" s="115"/>
      <c r="B237" s="327">
        <f t="shared" si="107"/>
        <v>1482.0949456635969</v>
      </c>
      <c r="C237" s="327">
        <f t="shared" si="108"/>
        <v>1473.6815931407525</v>
      </c>
      <c r="D237" s="327">
        <f t="shared" si="109"/>
        <v>6.9792603028191103</v>
      </c>
      <c r="E237" s="327">
        <f t="shared" si="72"/>
        <v>69.629818527096276</v>
      </c>
      <c r="F237" s="327">
        <f t="shared" si="110"/>
        <v>69.583014425949429</v>
      </c>
      <c r="G237" s="327">
        <f t="shared" si="111"/>
        <v>2431.0994971130194</v>
      </c>
      <c r="H237" s="312">
        <f t="shared" si="112"/>
        <v>0.02</v>
      </c>
      <c r="I237" s="327">
        <f t="shared" si="113"/>
        <v>5.0480115137066601</v>
      </c>
      <c r="J237" s="327">
        <f t="shared" si="74"/>
        <v>1848</v>
      </c>
      <c r="K237" s="334">
        <f t="shared" si="114"/>
        <v>-1</v>
      </c>
      <c r="L237" s="322">
        <f t="shared" si="115"/>
        <v>6.9592603028191107</v>
      </c>
      <c r="M237" s="322">
        <f t="shared" si="116"/>
        <v>6.9692603028191105</v>
      </c>
      <c r="N237" s="327">
        <f t="shared" si="117"/>
        <v>-4.6754043496097353E-2</v>
      </c>
      <c r="O237" s="327">
        <f t="shared" si="75"/>
        <v>0.18058914004097693</v>
      </c>
      <c r="P237" s="331">
        <f t="shared" si="77"/>
        <v>173.51634558001624</v>
      </c>
      <c r="Q237" s="327">
        <f t="shared" si="118"/>
        <v>594.83364086694019</v>
      </c>
      <c r="R237" s="276">
        <f>IF(H237&gt;0, rate1(1,$L$52,$L$51,$L$54,L237,$L$53,$L$50,P237),"")</f>
        <v>2255.3274017795784</v>
      </c>
      <c r="S237" s="322">
        <f t="shared" si="119"/>
        <v>1.4604755663870255</v>
      </c>
      <c r="T237" s="322">
        <f t="shared" si="120"/>
        <v>0.10153425482037631</v>
      </c>
      <c r="U237" s="327">
        <f t="shared" si="121"/>
        <v>6.9792603028191103</v>
      </c>
      <c r="V237" s="335">
        <f t="shared" si="122"/>
        <v>6.9792603028191103</v>
      </c>
      <c r="W237" s="327">
        <f t="shared" si="123"/>
        <v>1.4346847698796239E-3</v>
      </c>
      <c r="X237" s="327">
        <f t="shared" si="124"/>
        <v>603.71508695664807</v>
      </c>
      <c r="Y237" s="327">
        <f t="shared" si="78"/>
        <v>174.01465049316931</v>
      </c>
      <c r="Z237" s="107">
        <f>IF(H237&gt;0, rate1(1,$L$52,$L$51,$L$54,U237,$L$53,$L$50,Y237),"")</f>
        <v>2256.2511607900146</v>
      </c>
      <c r="AA237" s="335">
        <f t="shared" si="125"/>
        <v>1.4816750113215564</v>
      </c>
      <c r="AB237" s="335">
        <f t="shared" si="126"/>
        <v>-2.9785326956101063E-3</v>
      </c>
      <c r="AC237" s="327">
        <f t="shared" si="127"/>
        <v>0.10153425482037631</v>
      </c>
      <c r="AD237" s="327">
        <f t="shared" si="128"/>
        <v>-0.19697785772281373</v>
      </c>
      <c r="AE237" s="327">
        <f t="shared" si="129"/>
        <v>-2.3614953821263062E-3</v>
      </c>
      <c r="AF237" s="327">
        <f t="shared" si="130"/>
        <v>1481.9466573652805</v>
      </c>
      <c r="AG237" s="327">
        <f t="shared" si="131"/>
        <v>1473.5800588859322</v>
      </c>
      <c r="AH237" s="327">
        <f t="shared" si="132"/>
        <v>6.9598409787573265</v>
      </c>
      <c r="AI237" s="327">
        <f t="shared" si="133"/>
        <v>45.019740699403627</v>
      </c>
      <c r="AJ237" s="327">
        <f t="shared" si="134"/>
        <v>2.9468711101590763</v>
      </c>
      <c r="AK237" s="336">
        <f t="shared" si="135"/>
        <v>26.867632419379888</v>
      </c>
      <c r="AL237" s="42">
        <f t="shared" si="136"/>
        <v>19.521747640853793</v>
      </c>
    </row>
    <row r="238" spans="1:38" x14ac:dyDescent="0.25">
      <c r="A238" s="115"/>
      <c r="B238" s="327">
        <f t="shared" si="107"/>
        <v>1481.9466573652805</v>
      </c>
      <c r="C238" s="327">
        <f t="shared" si="108"/>
        <v>1473.5800588859322</v>
      </c>
      <c r="D238" s="327">
        <f t="shared" si="109"/>
        <v>6.9598409787573265</v>
      </c>
      <c r="E238" s="327">
        <f t="shared" si="72"/>
        <v>69.723379106308613</v>
      </c>
      <c r="F238" s="327">
        <f t="shared" si="110"/>
        <v>69.676598816702437</v>
      </c>
      <c r="G238" s="327">
        <f t="shared" si="111"/>
        <v>2414.0470881031447</v>
      </c>
      <c r="H238" s="312">
        <f t="shared" si="112"/>
        <v>0.02</v>
      </c>
      <c r="I238" s="327">
        <f t="shared" si="113"/>
        <v>5.0199590876090037</v>
      </c>
      <c r="J238" s="327">
        <f t="shared" si="74"/>
        <v>1848</v>
      </c>
      <c r="K238" s="334">
        <f t="shared" si="114"/>
        <v>-1</v>
      </c>
      <c r="L238" s="322">
        <f t="shared" si="115"/>
        <v>6.939840978757327</v>
      </c>
      <c r="M238" s="322">
        <f t="shared" si="116"/>
        <v>6.9498409787573268</v>
      </c>
      <c r="N238" s="327">
        <f t="shared" si="117"/>
        <v>-4.6627838184125636E-2</v>
      </c>
      <c r="O238" s="327">
        <f t="shared" si="75"/>
        <v>0.17557170800368155</v>
      </c>
      <c r="P238" s="331">
        <f t="shared" si="77"/>
        <v>172.8712088175169</v>
      </c>
      <c r="Q238" s="327">
        <f t="shared" si="118"/>
        <v>577.72520455948234</v>
      </c>
      <c r="R238" s="276">
        <f>IF(H238&gt;0, rate1(1,$L$52,$L$51,$L$54,L238,$L$53,$L$50,P238),"")</f>
        <v>2254.1246695666778</v>
      </c>
      <c r="S238" s="322">
        <f t="shared" si="119"/>
        <v>1.4597848392181529</v>
      </c>
      <c r="T238" s="322">
        <f t="shared" si="120"/>
        <v>0.10141230029118521</v>
      </c>
      <c r="U238" s="327">
        <f t="shared" si="121"/>
        <v>6.9598409787573265</v>
      </c>
      <c r="V238" s="335">
        <f t="shared" si="122"/>
        <v>6.9598409787573265</v>
      </c>
      <c r="W238" s="327">
        <f t="shared" si="123"/>
        <v>1.4267120486728402E-3</v>
      </c>
      <c r="X238" s="327">
        <f t="shared" si="124"/>
        <v>586.57671959033723</v>
      </c>
      <c r="Y238" s="327">
        <f t="shared" si="78"/>
        <v>173.36904921406153</v>
      </c>
      <c r="Z238" s="107">
        <f>IF(H238&gt;0, rate1(1,$L$52,$L$51,$L$54,U238,$L$53,$L$50,Y238),"")</f>
        <v>2255.0534720313258</v>
      </c>
      <c r="AA238" s="335">
        <f t="shared" si="125"/>
        <v>1.4815402133502256</v>
      </c>
      <c r="AB238" s="335">
        <f t="shared" si="126"/>
        <v>-2.9628097698149842E-3</v>
      </c>
      <c r="AC238" s="327">
        <f t="shared" si="127"/>
        <v>0.10141230029118521</v>
      </c>
      <c r="AD238" s="327">
        <f t="shared" si="128"/>
        <v>-0.19721473571326148</v>
      </c>
      <c r="AE238" s="327">
        <f t="shared" si="129"/>
        <v>-2.3343878916055917E-3</v>
      </c>
      <c r="AF238" s="327">
        <f t="shared" si="130"/>
        <v>1481.7986172268052</v>
      </c>
      <c r="AG238" s="327">
        <f t="shared" si="131"/>
        <v>1473.4786465856409</v>
      </c>
      <c r="AH238" s="327">
        <f t="shared" si="132"/>
        <v>6.9404199588264222</v>
      </c>
      <c r="AI238" s="327">
        <f t="shared" si="133"/>
        <v>44.989659028344796</v>
      </c>
      <c r="AJ238" s="327">
        <f t="shared" si="134"/>
        <v>2.9593682376669497</v>
      </c>
      <c r="AK238" s="336">
        <f t="shared" si="135"/>
        <v>26.977079888354368</v>
      </c>
      <c r="AL238" s="42">
        <f t="shared" si="136"/>
        <v>19.604944121666289</v>
      </c>
    </row>
    <row r="239" spans="1:38" x14ac:dyDescent="0.25">
      <c r="A239" s="115"/>
      <c r="B239" s="327">
        <f t="shared" si="107"/>
        <v>1481.7986172268052</v>
      </c>
      <c r="C239" s="327">
        <f t="shared" si="108"/>
        <v>1473.4786465856409</v>
      </c>
      <c r="D239" s="327">
        <f t="shared" si="109"/>
        <v>6.9404199588264222</v>
      </c>
      <c r="E239" s="327">
        <f t="shared" si="72"/>
        <v>69.81689764846611</v>
      </c>
      <c r="F239" s="327">
        <f t="shared" si="110"/>
        <v>69.770138377387354</v>
      </c>
      <c r="G239" s="327">
        <f t="shared" si="111"/>
        <v>2397.050353353045</v>
      </c>
      <c r="H239" s="312">
        <f t="shared" si="112"/>
        <v>0.02</v>
      </c>
      <c r="I239" s="327">
        <f t="shared" si="113"/>
        <v>4.991982384698531</v>
      </c>
      <c r="J239" s="327">
        <f t="shared" si="74"/>
        <v>1848</v>
      </c>
      <c r="K239" s="334">
        <f t="shared" si="114"/>
        <v>-1</v>
      </c>
      <c r="L239" s="322">
        <f t="shared" si="115"/>
        <v>6.9204199588264226</v>
      </c>
      <c r="M239" s="322">
        <f t="shared" si="116"/>
        <v>6.9304199588264224</v>
      </c>
      <c r="N239" s="327">
        <f t="shared" si="117"/>
        <v>-4.6501599633412383E-2</v>
      </c>
      <c r="O239" s="327">
        <f t="shared" si="75"/>
        <v>0.17056272035831041</v>
      </c>
      <c r="P239" s="331">
        <f t="shared" si="77"/>
        <v>172.22661803345926</v>
      </c>
      <c r="Q239" s="327">
        <f t="shared" si="118"/>
        <v>560.67261284505093</v>
      </c>
      <c r="R239" s="276">
        <f>IF(H239&gt;0, rate1(1,$L$52,$L$51,$L$54,L239,$L$53,$L$50,P239),"")</f>
        <v>2252.9152510272229</v>
      </c>
      <c r="S239" s="322">
        <f t="shared" si="119"/>
        <v>1.4590842636406871</v>
      </c>
      <c r="T239" s="322">
        <f t="shared" si="120"/>
        <v>0.10129207928984456</v>
      </c>
      <c r="U239" s="327">
        <f t="shared" si="121"/>
        <v>6.9404199588264222</v>
      </c>
      <c r="V239" s="335">
        <f t="shared" si="122"/>
        <v>6.9404199588264222</v>
      </c>
      <c r="W239" s="327">
        <f t="shared" si="123"/>
        <v>1.4187608485833891E-3</v>
      </c>
      <c r="X239" s="327">
        <f t="shared" si="124"/>
        <v>569.49400590429877</v>
      </c>
      <c r="Y239" s="327">
        <f t="shared" si="78"/>
        <v>172.72399300685697</v>
      </c>
      <c r="Z239" s="107">
        <f>IF(H239&gt;0, rate1(1,$L$52,$L$51,$L$54,U239,$L$53,$L$50,Y239),"")</f>
        <v>2253.8491359604177</v>
      </c>
      <c r="AA239" s="335">
        <f t="shared" si="125"/>
        <v>1.4814268120176541</v>
      </c>
      <c r="AB239" s="335">
        <f t="shared" si="126"/>
        <v>-2.9469917610890407E-3</v>
      </c>
      <c r="AC239" s="327">
        <f t="shared" si="127"/>
        <v>0.10129207928984456</v>
      </c>
      <c r="AD239" s="327">
        <f t="shared" si="128"/>
        <v>-0.19744880488404765</v>
      </c>
      <c r="AE239" s="327">
        <f t="shared" si="129"/>
        <v>-2.3094633798240037E-3</v>
      </c>
      <c r="AF239" s="327">
        <f t="shared" si="130"/>
        <v>1481.6508235478818</v>
      </c>
      <c r="AG239" s="327">
        <f t="shared" si="131"/>
        <v>1473.3773545063511</v>
      </c>
      <c r="AH239" s="327">
        <f t="shared" si="132"/>
        <v>6.9209972426525947</v>
      </c>
      <c r="AI239" s="327">
        <f t="shared" si="133"/>
        <v>44.960448132108013</v>
      </c>
      <c r="AJ239" s="327">
        <f t="shared" si="134"/>
        <v>2.9718572510369796</v>
      </c>
      <c r="AK239" s="336">
        <f t="shared" si="135"/>
        <v>27.085687043726498</v>
      </c>
      <c r="AL239" s="42">
        <f t="shared" si="136"/>
        <v>19.688085011550669</v>
      </c>
    </row>
    <row r="240" spans="1:38" x14ac:dyDescent="0.25">
      <c r="A240" s="115"/>
      <c r="B240" s="327">
        <f t="shared" si="107"/>
        <v>1481.6508235478818</v>
      </c>
      <c r="C240" s="327">
        <f t="shared" si="108"/>
        <v>1473.3773545063511</v>
      </c>
      <c r="D240" s="327">
        <f t="shared" si="109"/>
        <v>6.9209972426525947</v>
      </c>
      <c r="E240" s="327">
        <f t="shared" si="72"/>
        <v>69.910379436272137</v>
      </c>
      <c r="F240" s="327">
        <f t="shared" si="110"/>
        <v>69.863638542369131</v>
      </c>
      <c r="G240" s="327">
        <f t="shared" si="111"/>
        <v>2380.1096777646476</v>
      </c>
      <c r="H240" s="312">
        <f t="shared" si="112"/>
        <v>0.02</v>
      </c>
      <c r="I240" s="327">
        <f t="shared" si="113"/>
        <v>4.9640814249184126</v>
      </c>
      <c r="J240" s="327">
        <f t="shared" si="74"/>
        <v>1848</v>
      </c>
      <c r="K240" s="334">
        <f t="shared" si="114"/>
        <v>-1</v>
      </c>
      <c r="L240" s="322">
        <f t="shared" si="115"/>
        <v>6.9009972426525952</v>
      </c>
      <c r="M240" s="322">
        <f t="shared" si="116"/>
        <v>6.910997242652595</v>
      </c>
      <c r="N240" s="327">
        <f t="shared" si="117"/>
        <v>-4.6375327835672664E-2</v>
      </c>
      <c r="O240" s="327">
        <f t="shared" si="75"/>
        <v>0.16556211523261122</v>
      </c>
      <c r="P240" s="331">
        <f t="shared" si="77"/>
        <v>171.58257449785719</v>
      </c>
      <c r="Q240" s="327">
        <f t="shared" si="118"/>
        <v>543.67624423891539</v>
      </c>
      <c r="R240" s="276">
        <f>IF(H240&gt;0, rate1(1,$L$52,$L$51,$L$54,L240,$L$53,$L$50,P240),"")</f>
        <v>2251.6990939673551</v>
      </c>
      <c r="S240" s="322">
        <f t="shared" si="119"/>
        <v>1.4583744182932687</v>
      </c>
      <c r="T240" s="322">
        <f t="shared" si="120"/>
        <v>0.10117346427915541</v>
      </c>
      <c r="U240" s="327">
        <f t="shared" si="121"/>
        <v>6.9209972426525947</v>
      </c>
      <c r="V240" s="335">
        <f t="shared" si="122"/>
        <v>6.9209972426525947</v>
      </c>
      <c r="W240" s="327">
        <f t="shared" si="123"/>
        <v>1.4108311752956126E-3</v>
      </c>
      <c r="X240" s="327">
        <f t="shared" si="124"/>
        <v>552.46733393403792</v>
      </c>
      <c r="Y240" s="327">
        <f t="shared" si="78"/>
        <v>172.0794831372834</v>
      </c>
      <c r="Z240" s="107">
        <f>IF(H240&gt;0, rate1(1,$L$52,$L$51,$L$54,U240,$L$53,$L$50,Y240),"")</f>
        <v>2252.6381007698578</v>
      </c>
      <c r="AA240" s="335">
        <f t="shared" si="125"/>
        <v>1.481338166614887</v>
      </c>
      <c r="AB240" s="335">
        <f t="shared" si="126"/>
        <v>-2.9310602672910457E-3</v>
      </c>
      <c r="AC240" s="327">
        <f t="shared" si="127"/>
        <v>0.10117346427915541</v>
      </c>
      <c r="AD240" s="327">
        <f t="shared" si="128"/>
        <v>-0.19768029238196763</v>
      </c>
      <c r="AE240" s="327">
        <f t="shared" si="129"/>
        <v>-2.2866853671928114E-3</v>
      </c>
      <c r="AF240" s="327">
        <f t="shared" si="130"/>
        <v>1481.5032747557671</v>
      </c>
      <c r="AG240" s="327">
        <f t="shared" si="131"/>
        <v>1473.276181042072</v>
      </c>
      <c r="AH240" s="327">
        <f t="shared" si="132"/>
        <v>6.9015728298601999</v>
      </c>
      <c r="AI240" s="327">
        <f t="shared" si="133"/>
        <v>44.932053554675463</v>
      </c>
      <c r="AJ240" s="327">
        <f t="shared" si="134"/>
        <v>2.9843383770243896</v>
      </c>
      <c r="AK240" s="336">
        <f t="shared" si="135"/>
        <v>27.19345950180848</v>
      </c>
      <c r="AL240" s="42">
        <f t="shared" si="136"/>
        <v>19.771171919698805</v>
      </c>
    </row>
    <row r="241" spans="1:38" x14ac:dyDescent="0.25">
      <c r="A241" s="115"/>
      <c r="B241" s="327">
        <f t="shared" si="107"/>
        <v>1481.5032747557671</v>
      </c>
      <c r="C241" s="327">
        <f t="shared" si="108"/>
        <v>1473.276181042072</v>
      </c>
      <c r="D241" s="327">
        <f t="shared" si="109"/>
        <v>6.9015728298601999</v>
      </c>
      <c r="E241" s="327">
        <f t="shared" si="72"/>
        <v>70.003829458266637</v>
      </c>
      <c r="F241" s="327">
        <f t="shared" si="110"/>
        <v>69.957104447269387</v>
      </c>
      <c r="G241" s="327">
        <f t="shared" si="111"/>
        <v>2363.2254277777001</v>
      </c>
      <c r="H241" s="312">
        <f t="shared" si="112"/>
        <v>0.02</v>
      </c>
      <c r="I241" s="327">
        <f t="shared" si="113"/>
        <v>4.9362562282170073</v>
      </c>
      <c r="J241" s="327">
        <f t="shared" si="74"/>
        <v>1848</v>
      </c>
      <c r="K241" s="334">
        <f t="shared" si="114"/>
        <v>-1</v>
      </c>
      <c r="L241" s="322">
        <f t="shared" si="115"/>
        <v>6.8815728298602004</v>
      </c>
      <c r="M241" s="322">
        <f t="shared" si="116"/>
        <v>6.8915728298602001</v>
      </c>
      <c r="N241" s="327">
        <f t="shared" si="117"/>
        <v>-4.6249022782681948E-2</v>
      </c>
      <c r="O241" s="327">
        <f t="shared" si="75"/>
        <v>0.16056983519301316</v>
      </c>
      <c r="P241" s="331">
        <f t="shared" si="77"/>
        <v>170.93907948658125</v>
      </c>
      <c r="Q241" s="327">
        <f t="shared" si="118"/>
        <v>526.73645909162769</v>
      </c>
      <c r="R241" s="276">
        <f>IF(H241&gt;0, rate1(1,$L$52,$L$51,$L$54,L241,$L$53,$L$50,P241),"")</f>
        <v>2250.4761456729279</v>
      </c>
      <c r="S241" s="322">
        <f t="shared" si="119"/>
        <v>1.4576558650647515</v>
      </c>
      <c r="T241" s="322">
        <f t="shared" si="120"/>
        <v>0.10105633143396599</v>
      </c>
      <c r="U241" s="327">
        <f t="shared" si="121"/>
        <v>6.9015728298601999</v>
      </c>
      <c r="V241" s="335">
        <f t="shared" si="122"/>
        <v>6.9015728298601999</v>
      </c>
      <c r="W241" s="327">
        <f t="shared" si="123"/>
        <v>1.4029230344725363E-3</v>
      </c>
      <c r="X241" s="327">
        <f t="shared" si="124"/>
        <v>535.49707313075623</v>
      </c>
      <c r="Y241" s="327">
        <f t="shared" si="78"/>
        <v>171.4355208768927</v>
      </c>
      <c r="Z241" s="107">
        <f>IF(H241&gt;0, rate1(1,$L$52,$L$51,$L$54,U241,$L$53,$L$50,Y241),"")</f>
        <v>2251.4203141365533</v>
      </c>
      <c r="AA241" s="335">
        <f t="shared" si="125"/>
        <v>1.4812779549076083</v>
      </c>
      <c r="AB241" s="335">
        <f t="shared" si="126"/>
        <v>-2.9149954203530012E-3</v>
      </c>
      <c r="AC241" s="327">
        <f t="shared" si="127"/>
        <v>0.10105633143396599</v>
      </c>
      <c r="AD241" s="327">
        <f t="shared" si="128"/>
        <v>-0.19790942057963734</v>
      </c>
      <c r="AE241" s="327">
        <f t="shared" si="129"/>
        <v>-2.2660181884844024E-3</v>
      </c>
      <c r="AF241" s="327">
        <f t="shared" si="130"/>
        <v>1481.3559694015505</v>
      </c>
      <c r="AG241" s="327">
        <f t="shared" si="131"/>
        <v>1473.1751247106381</v>
      </c>
      <c r="AH241" s="327">
        <f t="shared" si="132"/>
        <v>6.8821467200714519</v>
      </c>
      <c r="AI241" s="327">
        <f t="shared" si="133"/>
        <v>44.90442239446557</v>
      </c>
      <c r="AJ241" s="327">
        <f t="shared" si="134"/>
        <v>2.9968118276895188</v>
      </c>
      <c r="AK241" s="336">
        <f t="shared" si="135"/>
        <v>27.300402717315801</v>
      </c>
      <c r="AL241" s="42">
        <f t="shared" si="136"/>
        <v>19.854206354667845</v>
      </c>
    </row>
    <row r="242" spans="1:38" x14ac:dyDescent="0.25">
      <c r="A242" s="115"/>
      <c r="B242" s="327">
        <f t="shared" si="107"/>
        <v>1481.3559694015505</v>
      </c>
      <c r="C242" s="327">
        <f t="shared" si="108"/>
        <v>1473.1751247106381</v>
      </c>
      <c r="D242" s="327">
        <f t="shared" si="109"/>
        <v>6.8821467200714519</v>
      </c>
      <c r="E242" s="327">
        <f t="shared" si="72"/>
        <v>70.097252417621178</v>
      </c>
      <c r="F242" s="327">
        <f t="shared" si="110"/>
        <v>70.050540937943907</v>
      </c>
      <c r="G242" s="327">
        <f t="shared" si="111"/>
        <v>2346.3979521835045</v>
      </c>
      <c r="H242" s="312">
        <f t="shared" si="112"/>
        <v>0.02</v>
      </c>
      <c r="I242" s="327">
        <f t="shared" si="113"/>
        <v>4.9085068145474446</v>
      </c>
      <c r="J242" s="327">
        <f t="shared" si="74"/>
        <v>1848</v>
      </c>
      <c r="K242" s="334">
        <f t="shared" si="114"/>
        <v>-1</v>
      </c>
      <c r="L242" s="322">
        <f t="shared" si="115"/>
        <v>6.8621467200714523</v>
      </c>
      <c r="M242" s="322">
        <f t="shared" si="116"/>
        <v>6.8721467200714521</v>
      </c>
      <c r="N242" s="327">
        <f t="shared" si="117"/>
        <v>-4.6122684466130437E-2</v>
      </c>
      <c r="O242" s="327">
        <f t="shared" si="75"/>
        <v>0.15558582711426783</v>
      </c>
      <c r="P242" s="331">
        <f t="shared" si="77"/>
        <v>170.29613428139385</v>
      </c>
      <c r="Q242" s="327">
        <f t="shared" si="118"/>
        <v>509.853600390054</v>
      </c>
      <c r="R242" s="276">
        <f>IF(H242&gt;0, rate1(1,$L$52,$L$51,$L$54,L242,$L$53,$L$50,P242),"")</f>
        <v>2249.2463529032252</v>
      </c>
      <c r="S242" s="322">
        <f t="shared" si="119"/>
        <v>1.4569291495381771</v>
      </c>
      <c r="T242" s="322">
        <f t="shared" si="120"/>
        <v>0.10094056050647481</v>
      </c>
      <c r="U242" s="327">
        <f t="shared" si="121"/>
        <v>6.8821467200714519</v>
      </c>
      <c r="V242" s="335">
        <f t="shared" si="122"/>
        <v>6.8821467200714519</v>
      </c>
      <c r="W242" s="327">
        <f t="shared" si="123"/>
        <v>1.3950364317878439E-3</v>
      </c>
      <c r="X242" s="327">
        <f t="shared" si="124"/>
        <v>518.58357518026833</v>
      </c>
      <c r="Y242" s="327">
        <f t="shared" si="78"/>
        <v>170.79210750309551</v>
      </c>
      <c r="Z242" s="107">
        <f>IF(H242&gt;0, rate1(1,$L$52,$L$51,$L$54,U242,$L$53,$L$50,Y242),"")</f>
        <v>2250.1957232155337</v>
      </c>
      <c r="AA242" s="335">
        <f t="shared" si="125"/>
        <v>1.4812502258904037</v>
      </c>
      <c r="AB242" s="335">
        <f t="shared" si="126"/>
        <v>-2.8987756404825855E-3</v>
      </c>
      <c r="AC242" s="327">
        <f t="shared" si="127"/>
        <v>0.10094056050647481</v>
      </c>
      <c r="AD242" s="327">
        <f t="shared" si="128"/>
        <v>-0.19813640720488276</v>
      </c>
      <c r="AE242" s="327">
        <f t="shared" si="129"/>
        <v>-2.2474269090472028E-3</v>
      </c>
      <c r="AF242" s="327">
        <f t="shared" si="130"/>
        <v>1481.208906156578</v>
      </c>
      <c r="AG242" s="327">
        <f t="shared" si="131"/>
        <v>1473.0741841501317</v>
      </c>
      <c r="AH242" s="327">
        <f t="shared" si="132"/>
        <v>6.8627189129064776</v>
      </c>
      <c r="AI242" s="327">
        <f t="shared" si="133"/>
        <v>44.87750324733674</v>
      </c>
      <c r="AJ242" s="327">
        <f t="shared" si="134"/>
        <v>3.0092778008137788</v>
      </c>
      <c r="AK242" s="336">
        <f t="shared" si="135"/>
        <v>27.406521990138074</v>
      </c>
      <c r="AL242" s="42">
        <f t="shared" si="136"/>
        <v>19.937189727252818</v>
      </c>
    </row>
    <row r="243" spans="1:38" x14ac:dyDescent="0.25">
      <c r="A243" s="115"/>
      <c r="B243" s="327">
        <f t="shared" si="107"/>
        <v>1481.208906156578</v>
      </c>
      <c r="C243" s="327">
        <f t="shared" si="108"/>
        <v>1473.0741841501317</v>
      </c>
      <c r="D243" s="327">
        <f t="shared" si="109"/>
        <v>6.8627189129064776</v>
      </c>
      <c r="E243" s="327">
        <f t="shared" si="72"/>
        <v>70.190652740606836</v>
      </c>
      <c r="F243" s="327">
        <f t="shared" si="110"/>
        <v>70.143952579114</v>
      </c>
      <c r="G243" s="327">
        <f t="shared" si="111"/>
        <v>2329.627582904609</v>
      </c>
      <c r="H243" s="312">
        <f t="shared" si="112"/>
        <v>0.02</v>
      </c>
      <c r="I243" s="327">
        <f t="shared" si="113"/>
        <v>4.8808332038677689</v>
      </c>
      <c r="J243" s="327">
        <f t="shared" si="74"/>
        <v>1848</v>
      </c>
      <c r="K243" s="334">
        <f t="shared" si="114"/>
        <v>-1</v>
      </c>
      <c r="L243" s="322">
        <f t="shared" si="115"/>
        <v>6.842718912906478</v>
      </c>
      <c r="M243" s="322">
        <f t="shared" si="116"/>
        <v>6.8527189129064778</v>
      </c>
      <c r="N243" s="327">
        <f t="shared" si="117"/>
        <v>-4.5996312877733203E-2</v>
      </c>
      <c r="O243" s="327">
        <f t="shared" si="75"/>
        <v>0.15061004205405137</v>
      </c>
      <c r="P243" s="331">
        <f t="shared" si="77"/>
        <v>169.6537401699961</v>
      </c>
      <c r="Q243" s="327">
        <f t="shared" si="118"/>
        <v>493.02799452538966</v>
      </c>
      <c r="R243" s="276">
        <f>IF(H243&gt;0, rate1(1,$L$52,$L$51,$L$54,L243,$L$53,$L$50,P243),"")</f>
        <v>2248.0096618846187</v>
      </c>
      <c r="S243" s="322">
        <f t="shared" si="119"/>
        <v>1.4561948014001673</v>
      </c>
      <c r="T243" s="322">
        <f t="shared" si="120"/>
        <v>0.1008260347039464</v>
      </c>
      <c r="U243" s="327">
        <f t="shared" si="121"/>
        <v>6.8627189129064776</v>
      </c>
      <c r="V243" s="335">
        <f t="shared" si="122"/>
        <v>6.8627189129064776</v>
      </c>
      <c r="W243" s="327">
        <f t="shared" si="123"/>
        <v>1.3871713729081137E-3</v>
      </c>
      <c r="X243" s="327">
        <f t="shared" si="124"/>
        <v>501.72717478776303</v>
      </c>
      <c r="Y243" s="327">
        <f t="shared" si="78"/>
        <v>170.14924429920779</v>
      </c>
      <c r="Z243" s="107">
        <f>IF(H243&gt;0, rate1(1,$L$52,$L$51,$L$54,U243,$L$53,$L$50,Y243),"")</f>
        <v>2248.9642746336717</v>
      </c>
      <c r="AA243" s="335">
        <f t="shared" si="125"/>
        <v>1.4812594626050439</v>
      </c>
      <c r="AB243" s="335">
        <f t="shared" si="126"/>
        <v>-2.8823773467214421E-3</v>
      </c>
      <c r="AC243" s="327">
        <f t="shared" si="127"/>
        <v>0.1008260347039464</v>
      </c>
      <c r="AD243" s="327">
        <f t="shared" si="128"/>
        <v>-0.19836146545607616</v>
      </c>
      <c r="AE243" s="327">
        <f t="shared" si="129"/>
        <v>-2.2308772268143564E-3</v>
      </c>
      <c r="AF243" s="327">
        <f t="shared" si="130"/>
        <v>1481.0620838089962</v>
      </c>
      <c r="AG243" s="327">
        <f t="shared" si="131"/>
        <v>1472.9733581154278</v>
      </c>
      <c r="AH243" s="327">
        <f t="shared" si="132"/>
        <v>6.843289407983387</v>
      </c>
      <c r="AI243" s="327">
        <f t="shared" si="133"/>
        <v>44.851246154973772</v>
      </c>
      <c r="AJ243" s="327">
        <f t="shared" si="134"/>
        <v>3.0217364803012714</v>
      </c>
      <c r="AK243" s="336">
        <f t="shared" si="135"/>
        <v>27.511822471856735</v>
      </c>
      <c r="AL243" s="42">
        <f t="shared" si="136"/>
        <v>20.020123353253897</v>
      </c>
    </row>
    <row r="244" spans="1:38" x14ac:dyDescent="0.25">
      <c r="A244" s="115"/>
      <c r="B244" s="327">
        <f t="shared" si="107"/>
        <v>1481.0620838089962</v>
      </c>
      <c r="C244" s="327">
        <f t="shared" si="108"/>
        <v>1472.9733581154278</v>
      </c>
      <c r="D244" s="327">
        <f t="shared" si="109"/>
        <v>6.843289407983387</v>
      </c>
      <c r="E244" s="327">
        <f t="shared" si="72"/>
        <v>70.28403458476086</v>
      </c>
      <c r="F244" s="327">
        <f t="shared" si="110"/>
        <v>70.237343662683855</v>
      </c>
      <c r="G244" s="327">
        <f t="shared" si="111"/>
        <v>2312.9146357423324</v>
      </c>
      <c r="H244" s="312">
        <f t="shared" si="112"/>
        <v>0.02</v>
      </c>
      <c r="I244" s="327">
        <f t="shared" si="113"/>
        <v>4.8532354161410689</v>
      </c>
      <c r="J244" s="327">
        <f t="shared" si="74"/>
        <v>1848</v>
      </c>
      <c r="K244" s="334">
        <f t="shared" si="114"/>
        <v>-1</v>
      </c>
      <c r="L244" s="322">
        <f t="shared" si="115"/>
        <v>6.8232894079833875</v>
      </c>
      <c r="M244" s="322">
        <f t="shared" si="116"/>
        <v>6.8332894079833872</v>
      </c>
      <c r="N244" s="327">
        <f t="shared" si="117"/>
        <v>-4.5869908009169791E-2</v>
      </c>
      <c r="O244" s="327">
        <f t="shared" si="75"/>
        <v>0.14564243513213665</v>
      </c>
      <c r="P244" s="331">
        <f t="shared" si="77"/>
        <v>169.01189844607629</v>
      </c>
      <c r="Q244" s="327">
        <f t="shared" si="118"/>
        <v>476.25995202967761</v>
      </c>
      <c r="R244" s="276">
        <f>IF(H244&gt;0, rate1(1,$L$52,$L$51,$L$54,L244,$L$53,$L$50,P244),"")</f>
        <v>2246.7660183041298</v>
      </c>
      <c r="S244" s="322">
        <f t="shared" si="119"/>
        <v>1.4554533348145213</v>
      </c>
      <c r="T244" s="322">
        <f t="shared" si="120"/>
        <v>0.10071264057787575</v>
      </c>
      <c r="U244" s="327">
        <f t="shared" si="121"/>
        <v>6.843289407983387</v>
      </c>
      <c r="V244" s="335">
        <f t="shared" si="122"/>
        <v>6.843289407983387</v>
      </c>
      <c r="W244" s="327">
        <f t="shared" si="123"/>
        <v>1.3793278635105821E-3</v>
      </c>
      <c r="X244" s="327">
        <f t="shared" si="124"/>
        <v>484.9281904301306</v>
      </c>
      <c r="Y244" s="327">
        <f t="shared" si="78"/>
        <v>169.50693255449903</v>
      </c>
      <c r="Z244" s="107">
        <f>IF(H244&gt;0, rate1(1,$L$52,$L$51,$L$54,U244,$L$53,$L$50,Y244),"")</f>
        <v>2247.7259144833129</v>
      </c>
      <c r="AA244" s="335">
        <f t="shared" si="125"/>
        <v>1.4813106573729871</v>
      </c>
      <c r="AB244" s="335">
        <f t="shared" si="126"/>
        <v>-2.8657746143395391E-3</v>
      </c>
      <c r="AC244" s="327">
        <f t="shared" si="127"/>
        <v>0.10071264057787575</v>
      </c>
      <c r="AD244" s="327">
        <f t="shared" si="128"/>
        <v>-0.19858480410445659</v>
      </c>
      <c r="AE244" s="327">
        <f t="shared" si="129"/>
        <v>-2.2163353814657763E-3</v>
      </c>
      <c r="AF244" s="327">
        <f t="shared" si="130"/>
        <v>1480.9155012604092</v>
      </c>
      <c r="AG244" s="327">
        <f t="shared" si="131"/>
        <v>1472.8726454748498</v>
      </c>
      <c r="AH244" s="327">
        <f t="shared" si="132"/>
        <v>6.8238582049183387</v>
      </c>
      <c r="AI244" s="327">
        <f t="shared" si="133"/>
        <v>44.825602558246878</v>
      </c>
      <c r="AJ244" s="327">
        <f t="shared" si="134"/>
        <v>3.0341880365674512</v>
      </c>
      <c r="AK244" s="336">
        <f t="shared" si="135"/>
        <v>27.616309172027005</v>
      </c>
      <c r="AL244" s="42">
        <f t="shared" si="136"/>
        <v>20.103008456148288</v>
      </c>
    </row>
    <row r="245" spans="1:38" x14ac:dyDescent="0.25">
      <c r="A245" s="115"/>
      <c r="B245" s="327">
        <f t="shared" si="107"/>
        <v>1480.9155012604092</v>
      </c>
      <c r="C245" s="327">
        <f t="shared" si="108"/>
        <v>1472.8726454748498</v>
      </c>
      <c r="D245" s="327">
        <f t="shared" si="109"/>
        <v>6.8238582049183387</v>
      </c>
      <c r="E245" s="327">
        <f t="shared" si="72"/>
        <v>70.377401846776067</v>
      </c>
      <c r="F245" s="327">
        <f t="shared" si="110"/>
        <v>70.330718215768457</v>
      </c>
      <c r="G245" s="327">
        <f t="shared" si="111"/>
        <v>2296.2594110937212</v>
      </c>
      <c r="H245" s="312">
        <f t="shared" si="112"/>
        <v>0.02</v>
      </c>
      <c r="I245" s="327">
        <f t="shared" si="113"/>
        <v>4.8257134713356207</v>
      </c>
      <c r="J245" s="327">
        <f t="shared" si="74"/>
        <v>1848</v>
      </c>
      <c r="K245" s="334">
        <f t="shared" si="114"/>
        <v>-1</v>
      </c>
      <c r="L245" s="322">
        <f t="shared" si="115"/>
        <v>6.8038582049183391</v>
      </c>
      <c r="M245" s="322">
        <f t="shared" si="116"/>
        <v>6.8138582049183389</v>
      </c>
      <c r="N245" s="327">
        <f t="shared" si="117"/>
        <v>-4.5743469852123297E-2</v>
      </c>
      <c r="O245" s="327">
        <f t="shared" si="75"/>
        <v>0.14068296541368205</v>
      </c>
      <c r="P245" s="331">
        <f t="shared" si="77"/>
        <v>168.37061040935802</v>
      </c>
      <c r="Q245" s="327">
        <f t="shared" si="118"/>
        <v>459.54976828247845</v>
      </c>
      <c r="R245" s="276">
        <f>IF(H245&gt;0, rate1(1,$L$52,$L$51,$L$54,L245,$L$53,$L$50,P245),"")</f>
        <v>2245.5153673029072</v>
      </c>
      <c r="S245" s="322">
        <f t="shared" si="119"/>
        <v>1.4547052487595937</v>
      </c>
      <c r="T245" s="322">
        <f t="shared" si="120"/>
        <v>0.10060026792500966</v>
      </c>
      <c r="U245" s="327">
        <f t="shared" si="121"/>
        <v>6.8238582049183387</v>
      </c>
      <c r="V245" s="335">
        <f t="shared" si="122"/>
        <v>6.8238582049183387</v>
      </c>
      <c r="W245" s="327">
        <f t="shared" si="123"/>
        <v>1.3715059092795912E-3</v>
      </c>
      <c r="X245" s="327">
        <f t="shared" si="124"/>
        <v>468.1869250776067</v>
      </c>
      <c r="Y245" s="327">
        <f t="shared" si="78"/>
        <v>168.86517356424002</v>
      </c>
      <c r="Z245" s="107">
        <f>IF(H245&gt;0, rate1(1,$L$52,$L$51,$L$54,U245,$L$53,$L$50,Y245),"")</f>
        <v>2246.4805883158219</v>
      </c>
      <c r="AA245" s="335">
        <f t="shared" si="125"/>
        <v>1.4814094024399094</v>
      </c>
      <c r="AB245" s="335">
        <f t="shared" si="126"/>
        <v>-2.8489387667304353E-3</v>
      </c>
      <c r="AC245" s="327">
        <f t="shared" si="127"/>
        <v>0.10060026792500966</v>
      </c>
      <c r="AD245" s="327">
        <f t="shared" si="128"/>
        <v>-0.19880662758183285</v>
      </c>
      <c r="AE245" s="327">
        <f t="shared" si="129"/>
        <v>-2.2037680447409575E-3</v>
      </c>
      <c r="AF245" s="327">
        <f t="shared" si="130"/>
        <v>1480.769157522632</v>
      </c>
      <c r="AG245" s="327">
        <f t="shared" si="131"/>
        <v>1472.7720452069248</v>
      </c>
      <c r="AH245" s="327">
        <f t="shared" si="132"/>
        <v>6.804425303325127</v>
      </c>
      <c r="AI245" s="327">
        <f t="shared" si="133"/>
        <v>44.800525255741547</v>
      </c>
      <c r="AJ245" s="327">
        <f t="shared" si="134"/>
        <v>3.0466326269162685</v>
      </c>
      <c r="AK245" s="336">
        <f t="shared" si="135"/>
        <v>27.719986964239943</v>
      </c>
      <c r="AL245" s="42">
        <f t="shared" si="136"/>
        <v>20.18584616967593</v>
      </c>
    </row>
    <row r="246" spans="1:38" x14ac:dyDescent="0.25">
      <c r="A246" s="115"/>
      <c r="B246" s="327">
        <f t="shared" si="107"/>
        <v>1480.769157522632</v>
      </c>
      <c r="C246" s="327">
        <f t="shared" si="108"/>
        <v>1472.7720452069248</v>
      </c>
      <c r="D246" s="327">
        <f t="shared" si="109"/>
        <v>6.804425303325127</v>
      </c>
      <c r="E246" s="327">
        <f t="shared" si="72"/>
        <v>70.470758170138652</v>
      </c>
      <c r="F246" s="327">
        <f t="shared" si="110"/>
        <v>70.424080008457366</v>
      </c>
      <c r="G246" s="327">
        <f t="shared" si="111"/>
        <v>2279.6621946392679</v>
      </c>
      <c r="H246" s="312">
        <f t="shared" si="112"/>
        <v>0.02</v>
      </c>
      <c r="I246" s="327">
        <f t="shared" si="113"/>
        <v>4.7982673894243364</v>
      </c>
      <c r="J246" s="327">
        <f t="shared" si="74"/>
        <v>1848</v>
      </c>
      <c r="K246" s="334">
        <f t="shared" si="114"/>
        <v>-1</v>
      </c>
      <c r="L246" s="322">
        <f t="shared" si="115"/>
        <v>6.7844253033251274</v>
      </c>
      <c r="M246" s="322">
        <f t="shared" si="116"/>
        <v>6.7944253033251272</v>
      </c>
      <c r="N246" s="327">
        <f t="shared" si="117"/>
        <v>-4.5616998398243069E-2</v>
      </c>
      <c r="O246" s="327">
        <f t="shared" si="75"/>
        <v>0.13573159579628369</v>
      </c>
      <c r="P246" s="331">
        <f t="shared" si="77"/>
        <v>167.72987736563366</v>
      </c>
      <c r="Q246" s="327">
        <f t="shared" si="118"/>
        <v>442.89772418893426</v>
      </c>
      <c r="R246" s="276">
        <f>IF(H246&gt;0, rate1(1,$L$52,$L$51,$L$54,L246,$L$53,$L$50,P246),"")</f>
        <v>2244.2576534695809</v>
      </c>
      <c r="S246" s="322">
        <f t="shared" si="119"/>
        <v>1.4539510273266743</v>
      </c>
      <c r="T246" s="322">
        <f t="shared" si="120"/>
        <v>0.10048880970020575</v>
      </c>
      <c r="U246" s="327">
        <f t="shared" si="121"/>
        <v>6.804425303325127</v>
      </c>
      <c r="V246" s="335">
        <f t="shared" si="122"/>
        <v>6.804425303325127</v>
      </c>
      <c r="W246" s="327">
        <f t="shared" si="123"/>
        <v>1.36370551587639E-3</v>
      </c>
      <c r="X246" s="327">
        <f t="shared" si="124"/>
        <v>451.50366688593749</v>
      </c>
      <c r="Y246" s="327">
        <f t="shared" si="78"/>
        <v>168.22396862973579</v>
      </c>
      <c r="Z246" s="107">
        <f>IF(H246&gt;0, rate1(1,$L$52,$L$51,$L$54,U246,$L$53,$L$50,Y246),"")</f>
        <v>2245.228241135002</v>
      </c>
      <c r="AA246" s="335">
        <f t="shared" si="125"/>
        <v>1.48156199988174</v>
      </c>
      <c r="AB246" s="335">
        <f t="shared" si="126"/>
        <v>-2.8318378863184455E-3</v>
      </c>
      <c r="AC246" s="327">
        <f t="shared" si="127"/>
        <v>0.10048880970020575</v>
      </c>
      <c r="AD246" s="327">
        <f t="shared" si="128"/>
        <v>-0.19902713605293157</v>
      </c>
      <c r="AE246" s="327">
        <f t="shared" si="129"/>
        <v>-2.1931422004898911E-3</v>
      </c>
      <c r="AF246" s="327">
        <f t="shared" si="130"/>
        <v>1480.6230517145336</v>
      </c>
      <c r="AG246" s="327">
        <f t="shared" si="131"/>
        <v>1472.6715563972245</v>
      </c>
      <c r="AH246" s="327">
        <f t="shared" si="132"/>
        <v>6.7849907028156249</v>
      </c>
      <c r="AI246" s="327">
        <f t="shared" si="133"/>
        <v>44.775968367469709</v>
      </c>
      <c r="AJ246" s="327">
        <f t="shared" si="134"/>
        <v>3.0590703959072321</v>
      </c>
      <c r="AK246" s="336">
        <f t="shared" si="135"/>
        <v>27.822860591980383</v>
      </c>
      <c r="AL246" s="42">
        <f t="shared" si="136"/>
        <v>20.268637540348539</v>
      </c>
    </row>
    <row r="247" spans="1:38" x14ac:dyDescent="0.25">
      <c r="A247" s="115"/>
      <c r="B247" s="327">
        <f t="shared" si="107"/>
        <v>1480.6230517145336</v>
      </c>
      <c r="C247" s="327">
        <f t="shared" si="108"/>
        <v>1472.6715563972245</v>
      </c>
      <c r="D247" s="327">
        <f t="shared" si="109"/>
        <v>6.7849907028156249</v>
      </c>
      <c r="E247" s="327">
        <f t="shared" si="72"/>
        <v>70.564106952549182</v>
      </c>
      <c r="F247" s="327">
        <f t="shared" si="110"/>
        <v>70.517432561343924</v>
      </c>
      <c r="G247" s="327">
        <f t="shared" si="111"/>
        <v>2263.123258004422</v>
      </c>
      <c r="H247" s="312">
        <f t="shared" si="112"/>
        <v>0.02</v>
      </c>
      <c r="I247" s="327">
        <f t="shared" si="113"/>
        <v>4.7708971903854485</v>
      </c>
      <c r="J247" s="327">
        <f t="shared" si="74"/>
        <v>1848</v>
      </c>
      <c r="K247" s="334">
        <f t="shared" si="114"/>
        <v>-1</v>
      </c>
      <c r="L247" s="322">
        <f t="shared" si="115"/>
        <v>6.7649907028156253</v>
      </c>
      <c r="M247" s="322">
        <f t="shared" si="116"/>
        <v>6.7749907028156251</v>
      </c>
      <c r="N247" s="327">
        <f t="shared" si="117"/>
        <v>-4.54904936391749E-2</v>
      </c>
      <c r="O247" s="327">
        <f t="shared" si="75"/>
        <v>0.13078829290033009</v>
      </c>
      <c r="P247" s="331">
        <f t="shared" si="77"/>
        <v>167.08970062682613</v>
      </c>
      <c r="Q247" s="327">
        <f t="shared" si="118"/>
        <v>426.30408683246606</v>
      </c>
      <c r="R247" s="276">
        <f>IF(H247&gt;0, rate1(1,$L$52,$L$51,$L$54,L247,$L$53,$L$50,P247),"")</f>
        <v>2242.9928208335741</v>
      </c>
      <c r="S247" s="322">
        <f t="shared" si="119"/>
        <v>1.4531911399837907</v>
      </c>
      <c r="T247" s="322">
        <f t="shared" si="120"/>
        <v>0.10037816194023996</v>
      </c>
      <c r="U247" s="327">
        <f t="shared" si="121"/>
        <v>6.7849907028156249</v>
      </c>
      <c r="V247" s="335">
        <f t="shared" si="122"/>
        <v>6.7849907028156249</v>
      </c>
      <c r="W247" s="327">
        <f t="shared" si="123"/>
        <v>1.3559266889853205E-3</v>
      </c>
      <c r="X247" s="327">
        <f t="shared" si="124"/>
        <v>434.87868986225658</v>
      </c>
      <c r="Y247" s="327">
        <f t="shared" si="78"/>
        <v>167.58331905838722</v>
      </c>
      <c r="Z247" s="107">
        <f>IF(H247&gt;0, rate1(1,$L$52,$L$51,$L$54,U247,$L$53,$L$50,Y247),"")</f>
        <v>2243.968817390481</v>
      </c>
      <c r="AA247" s="335">
        <f t="shared" si="125"/>
        <v>1.481775595767292</v>
      </c>
      <c r="AB247" s="335">
        <f t="shared" si="126"/>
        <v>-2.8144362248690206E-3</v>
      </c>
      <c r="AC247" s="327">
        <f t="shared" si="127"/>
        <v>0.10037816194023996</v>
      </c>
      <c r="AD247" s="327">
        <f t="shared" si="128"/>
        <v>-0.19924652547340904</v>
      </c>
      <c r="AE247" s="327">
        <f t="shared" si="129"/>
        <v>-2.1844250320075752E-3</v>
      </c>
      <c r="AF247" s="327">
        <f t="shared" si="130"/>
        <v>1480.4771830589543</v>
      </c>
      <c r="AG247" s="327">
        <f t="shared" si="131"/>
        <v>1472.5711782352844</v>
      </c>
      <c r="AH247" s="327">
        <f t="shared" si="132"/>
        <v>6.7655544029993742</v>
      </c>
      <c r="AI247" s="327">
        <f t="shared" si="133"/>
        <v>44.751887303382425</v>
      </c>
      <c r="AJ247" s="327">
        <f t="shared" si="134"/>
        <v>3.0715014757137271</v>
      </c>
      <c r="AK247" s="336">
        <f t="shared" si="135"/>
        <v>27.924934674296068</v>
      </c>
      <c r="AL247" s="42">
        <f t="shared" si="136"/>
        <v>20.351383529891624</v>
      </c>
    </row>
    <row r="248" spans="1:38" x14ac:dyDescent="0.25">
      <c r="A248" s="115"/>
      <c r="B248" s="327">
        <f t="shared" si="107"/>
        <v>1480.4771830589543</v>
      </c>
      <c r="C248" s="327">
        <f t="shared" si="108"/>
        <v>1472.5711782352844</v>
      </c>
      <c r="D248" s="327">
        <f t="shared" si="109"/>
        <v>6.7655544029993742</v>
      </c>
      <c r="E248" s="327">
        <f t="shared" si="72"/>
        <v>70.657451353139578</v>
      </c>
      <c r="F248" s="327">
        <f t="shared" si="110"/>
        <v>70.610779152844373</v>
      </c>
      <c r="G248" s="327">
        <f t="shared" si="111"/>
        <v>2246.642859394748</v>
      </c>
      <c r="H248" s="312">
        <f t="shared" si="112"/>
        <v>0.02</v>
      </c>
      <c r="I248" s="327">
        <f t="shared" si="113"/>
        <v>4.7436028942019677</v>
      </c>
      <c r="J248" s="327">
        <f t="shared" si="74"/>
        <v>1848</v>
      </c>
      <c r="K248" s="334">
        <f t="shared" si="114"/>
        <v>-1</v>
      </c>
      <c r="L248" s="322">
        <f t="shared" si="115"/>
        <v>6.7455544029993746</v>
      </c>
      <c r="M248" s="322">
        <f t="shared" si="116"/>
        <v>6.7555544029993744</v>
      </c>
      <c r="N248" s="327">
        <f t="shared" si="117"/>
        <v>-4.5363955566537939E-2</v>
      </c>
      <c r="O248" s="327">
        <f t="shared" si="75"/>
        <v>0.12585302696235232</v>
      </c>
      <c r="P248" s="331">
        <f t="shared" si="77"/>
        <v>166.45008151102317</v>
      </c>
      <c r="Q248" s="327">
        <f t="shared" si="118"/>
        <v>409.76911010149615</v>
      </c>
      <c r="R248" s="276">
        <f>IF(H248&gt;0, rate1(1,$L$52,$L$51,$L$54,L248,$L$53,$L$50,P248),"")</f>
        <v>2241.7208128582706</v>
      </c>
      <c r="S248" s="322">
        <f t="shared" si="119"/>
        <v>1.4524260417956312</v>
      </c>
      <c r="T248" s="322">
        <f t="shared" si="120"/>
        <v>0.1002682237001504</v>
      </c>
      <c r="U248" s="327">
        <f t="shared" si="121"/>
        <v>6.7655544029993742</v>
      </c>
      <c r="V248" s="335">
        <f t="shared" si="122"/>
        <v>6.7655544029993742</v>
      </c>
      <c r="W248" s="327">
        <f t="shared" si="123"/>
        <v>1.3481694342782902E-3</v>
      </c>
      <c r="X248" s="327">
        <f t="shared" si="124"/>
        <v>418.31225450439706</v>
      </c>
      <c r="Y248" s="327">
        <f t="shared" si="78"/>
        <v>166.94322616372472</v>
      </c>
      <c r="Z248" s="107">
        <f>IF(H248&gt;0, rate1(1,$L$52,$L$51,$L$54,U248,$L$53,$L$50,Y248),"")</f>
        <v>2242.7022609709452</v>
      </c>
      <c r="AA248" s="335">
        <f t="shared" si="125"/>
        <v>1.4820583450916647</v>
      </c>
      <c r="AB248" s="335">
        <f t="shared" si="126"/>
        <v>-2.7966934874282326E-3</v>
      </c>
      <c r="AC248" s="327">
        <f t="shared" si="127"/>
        <v>0.1002682237001504</v>
      </c>
      <c r="AD248" s="327">
        <f t="shared" si="128"/>
        <v>-0.19946498762967516</v>
      </c>
      <c r="AE248" s="327">
        <f t="shared" si="129"/>
        <v>-2.1775837682683585E-3</v>
      </c>
      <c r="AF248" s="327">
        <f t="shared" si="130"/>
        <v>1480.3315508796877</v>
      </c>
      <c r="AG248" s="327">
        <f t="shared" si="131"/>
        <v>1472.4709100115842</v>
      </c>
      <c r="AH248" s="327">
        <f t="shared" si="132"/>
        <v>6.7461164034838426</v>
      </c>
      <c r="AI248" s="327">
        <f t="shared" si="133"/>
        <v>44.72823873741217</v>
      </c>
      <c r="AJ248" s="327">
        <f t="shared" si="134"/>
        <v>3.0839259864741195</v>
      </c>
      <c r="AK248" s="336">
        <f t="shared" si="135"/>
        <v>28.026213711291945</v>
      </c>
      <c r="AL248" s="42">
        <f t="shared" si="136"/>
        <v>20.434085017628274</v>
      </c>
    </row>
    <row r="249" spans="1:38" x14ac:dyDescent="0.25">
      <c r="A249" s="115"/>
      <c r="B249" s="327">
        <f t="shared" si="107"/>
        <v>1480.3315508796877</v>
      </c>
      <c r="C249" s="327">
        <f t="shared" si="108"/>
        <v>1472.4709100115842</v>
      </c>
      <c r="D249" s="327">
        <f t="shared" si="109"/>
        <v>6.7461164034838426</v>
      </c>
      <c r="E249" s="327">
        <f t="shared" si="72"/>
        <v>70.750794299524003</v>
      </c>
      <c r="F249" s="327">
        <f t="shared" si="110"/>
        <v>70.704122826331798</v>
      </c>
      <c r="G249" s="327">
        <f t="shared" si="111"/>
        <v>2230.2212442077007</v>
      </c>
      <c r="H249" s="312">
        <f t="shared" si="112"/>
        <v>0.02</v>
      </c>
      <c r="I249" s="327">
        <f t="shared" si="113"/>
        <v>4.7163845208620838</v>
      </c>
      <c r="J249" s="327">
        <f t="shared" si="74"/>
        <v>1848</v>
      </c>
      <c r="K249" s="334">
        <f t="shared" si="114"/>
        <v>-1</v>
      </c>
      <c r="L249" s="322">
        <f t="shared" si="115"/>
        <v>6.726116403483843</v>
      </c>
      <c r="M249" s="322">
        <f t="shared" si="116"/>
        <v>6.7361164034838428</v>
      </c>
      <c r="N249" s="327">
        <f t="shared" si="117"/>
        <v>-4.5237384171922912E-2</v>
      </c>
      <c r="O249" s="327">
        <f t="shared" si="75"/>
        <v>0.12092577173089332</v>
      </c>
      <c r="P249" s="331">
        <f t="shared" si="77"/>
        <v>165.81102134253445</v>
      </c>
      <c r="Q249" s="327">
        <f t="shared" si="118"/>
        <v>393.29303529360823</v>
      </c>
      <c r="R249" s="276">
        <f>IF(H249&gt;0, rate1(1,$L$52,$L$51,$L$54,L249,$L$53,$L$50,P249),"")</f>
        <v>2240.4415724341266</v>
      </c>
      <c r="S249" s="322">
        <f t="shared" si="119"/>
        <v>1.4516561736040599</v>
      </c>
      <c r="T249" s="322">
        <f t="shared" si="120"/>
        <v>0.10015889700110651</v>
      </c>
      <c r="U249" s="327">
        <f t="shared" si="121"/>
        <v>6.7461164034838426</v>
      </c>
      <c r="V249" s="335">
        <f t="shared" si="122"/>
        <v>6.7461164034838426</v>
      </c>
      <c r="W249" s="327">
        <f t="shared" si="123"/>
        <v>1.3404337574502989E-3</v>
      </c>
      <c r="X249" s="327">
        <f t="shared" si="124"/>
        <v>401.80460841672948</v>
      </c>
      <c r="Y249" s="327">
        <f t="shared" si="78"/>
        <v>166.30369126546523</v>
      </c>
      <c r="Z249" s="107">
        <f>IF(H249&gt;0, rate1(1,$L$52,$L$51,$L$54,U249,$L$53,$L$50,Y249),"")</f>
        <v>2241.428515197324</v>
      </c>
      <c r="AA249" s="335">
        <f t="shared" si="125"/>
        <v>1.4824196160876641</v>
      </c>
      <c r="AB249" s="335">
        <f t="shared" si="126"/>
        <v>-2.7785639570815429E-3</v>
      </c>
      <c r="AC249" s="327">
        <f t="shared" si="127"/>
        <v>0.10015889700110651</v>
      </c>
      <c r="AD249" s="327">
        <f t="shared" si="128"/>
        <v>-0.19968271016182465</v>
      </c>
      <c r="AE249" s="327">
        <f t="shared" si="129"/>
        <v>-2.1725855401975975E-3</v>
      </c>
      <c r="AF249" s="327">
        <f t="shared" si="130"/>
        <v>1480.1861545985146</v>
      </c>
      <c r="AG249" s="327">
        <f t="shared" si="131"/>
        <v>1472.3707511145831</v>
      </c>
      <c r="AH249" s="327">
        <f t="shared" si="132"/>
        <v>6.7266767038741895</v>
      </c>
      <c r="AI249" s="327">
        <f t="shared" si="133"/>
        <v>44.704980586612194</v>
      </c>
      <c r="AJ249" s="327">
        <f t="shared" si="134"/>
        <v>3.0963440366370674</v>
      </c>
      <c r="AK249" s="336">
        <f t="shared" si="135"/>
        <v>28.126702089464654</v>
      </c>
      <c r="AL249" s="42">
        <f t="shared" si="136"/>
        <v>20.51674280281501</v>
      </c>
    </row>
    <row r="250" spans="1:38" x14ac:dyDescent="0.25">
      <c r="A250" s="115"/>
      <c r="B250" s="327">
        <f t="shared" si="107"/>
        <v>1480.1861545985146</v>
      </c>
      <c r="C250" s="327">
        <f t="shared" si="108"/>
        <v>1472.3707511145831</v>
      </c>
      <c r="D250" s="327">
        <f t="shared" si="109"/>
        <v>6.7266767038741895</v>
      </c>
      <c r="E250" s="327">
        <f t="shared" si="72"/>
        <v>70.844138494700985</v>
      </c>
      <c r="F250" s="327">
        <f t="shared" si="110"/>
        <v>70.797466397112487</v>
      </c>
      <c r="G250" s="327">
        <f t="shared" si="111"/>
        <v>2213.8586456213602</v>
      </c>
      <c r="H250" s="312">
        <f t="shared" si="112"/>
        <v>0.02</v>
      </c>
      <c r="I250" s="327">
        <f t="shared" si="113"/>
        <v>4.6892420903589027</v>
      </c>
      <c r="J250" s="327">
        <f t="shared" si="74"/>
        <v>1848</v>
      </c>
      <c r="K250" s="334">
        <f t="shared" si="114"/>
        <v>-1</v>
      </c>
      <c r="L250" s="322">
        <f t="shared" si="115"/>
        <v>6.7066767038741899</v>
      </c>
      <c r="M250" s="322">
        <f t="shared" si="116"/>
        <v>6.7166767038741897</v>
      </c>
      <c r="N250" s="327">
        <f t="shared" si="117"/>
        <v>-4.5110779446940086E-2</v>
      </c>
      <c r="O250" s="327">
        <f t="shared" si="75"/>
        <v>0.11600650436457374</v>
      </c>
      <c r="P250" s="331">
        <f t="shared" si="77"/>
        <v>165.172521451932</v>
      </c>
      <c r="Q250" s="327">
        <f t="shared" si="118"/>
        <v>376.87609169711232</v>
      </c>
      <c r="R250" s="276">
        <f>IF(H250&gt;0, rate1(1,$L$52,$L$51,$L$54,L250,$L$53,$L$50,P250),"")</f>
        <v>2239.1550418716506</v>
      </c>
      <c r="S250" s="322">
        <f t="shared" si="119"/>
        <v>1.450881962160351</v>
      </c>
      <c r="T250" s="322">
        <f t="shared" si="120"/>
        <v>0.10005008679166666</v>
      </c>
      <c r="U250" s="327">
        <f t="shared" si="121"/>
        <v>6.7266767038741895</v>
      </c>
      <c r="V250" s="335">
        <f t="shared" si="122"/>
        <v>6.7266767038741895</v>
      </c>
      <c r="W250" s="327">
        <f t="shared" si="123"/>
        <v>1.3327196641750305E-3</v>
      </c>
      <c r="X250" s="327">
        <f t="shared" si="124"/>
        <v>385.35598690281631</v>
      </c>
      <c r="Y250" s="327">
        <f t="shared" si="78"/>
        <v>165.66471568955205</v>
      </c>
      <c r="Z250" s="107">
        <f>IF(H250&gt;0, rate1(1,$L$52,$L$51,$L$54,U250,$L$53,$L$50,Y250),"")</f>
        <v>2240.1475228158461</v>
      </c>
      <c r="AA250" s="335">
        <f t="shared" si="125"/>
        <v>1.4828702453708116</v>
      </c>
      <c r="AB250" s="335">
        <f t="shared" si="126"/>
        <v>-2.7599954168880136E-3</v>
      </c>
      <c r="AC250" s="327">
        <f t="shared" si="127"/>
        <v>0.10005008679166666</v>
      </c>
      <c r="AD250" s="327">
        <f t="shared" si="128"/>
        <v>-0.19989987656528285</v>
      </c>
      <c r="AE250" s="327">
        <f t="shared" si="129"/>
        <v>-2.1693971903177013E-3</v>
      </c>
      <c r="AF250" s="327">
        <f t="shared" si="130"/>
        <v>1480.0409937322759</v>
      </c>
      <c r="AG250" s="327">
        <f t="shared" si="131"/>
        <v>1472.2707010277913</v>
      </c>
      <c r="AH250" s="327">
        <f t="shared" si="132"/>
        <v>6.7072353037734382</v>
      </c>
      <c r="AI250" s="327">
        <f t="shared" si="133"/>
        <v>44.682071996246151</v>
      </c>
      <c r="AJ250" s="327">
        <f t="shared" si="134"/>
        <v>3.1087557233026915</v>
      </c>
      <c r="AK250" s="336">
        <f t="shared" si="135"/>
        <v>28.22640408689081</v>
      </c>
      <c r="AL250" s="42">
        <f t="shared" si="136"/>
        <v>20.599357606939069</v>
      </c>
    </row>
    <row r="251" spans="1:38" x14ac:dyDescent="0.25">
      <c r="A251" s="115"/>
      <c r="B251" s="327">
        <f t="shared" si="107"/>
        <v>1480.0409937322759</v>
      </c>
      <c r="C251" s="327">
        <f t="shared" si="108"/>
        <v>1472.2707010277913</v>
      </c>
      <c r="D251" s="327">
        <f t="shared" si="109"/>
        <v>6.7072353037734382</v>
      </c>
      <c r="E251" s="327">
        <f t="shared" si="72"/>
        <v>70.937486423842415</v>
      </c>
      <c r="F251" s="327">
        <f t="shared" si="110"/>
        <v>70.8908124592717</v>
      </c>
      <c r="G251" s="327">
        <f t="shared" si="111"/>
        <v>2197.5552851624334</v>
      </c>
      <c r="H251" s="312">
        <f t="shared" si="112"/>
        <v>0.02</v>
      </c>
      <c r="I251" s="327">
        <f t="shared" si="113"/>
        <v>4.662175622690711</v>
      </c>
      <c r="J251" s="327">
        <f t="shared" si="74"/>
        <v>1848</v>
      </c>
      <c r="K251" s="334">
        <f t="shared" si="114"/>
        <v>-1</v>
      </c>
      <c r="L251" s="322">
        <f t="shared" si="115"/>
        <v>6.6872353037734387</v>
      </c>
      <c r="M251" s="322">
        <f t="shared" si="116"/>
        <v>6.6972353037734385</v>
      </c>
      <c r="N251" s="327">
        <f t="shared" si="117"/>
        <v>-4.49841413831642E-2</v>
      </c>
      <c r="O251" s="327">
        <f t="shared" si="75"/>
        <v>0.11109520533189354</v>
      </c>
      <c r="P251" s="331">
        <f t="shared" si="77"/>
        <v>164.53458317610605</v>
      </c>
      <c r="Q251" s="327">
        <f t="shared" si="118"/>
        <v>360.51849715257049</v>
      </c>
      <c r="R251" s="276">
        <f>IF(H251&gt;0, rate1(1,$L$52,$L$51,$L$54,L251,$L$53,$L$50,P251),"")</f>
        <v>2237.8611628943149</v>
      </c>
      <c r="S251" s="322">
        <f t="shared" si="119"/>
        <v>1.4501038202093399</v>
      </c>
      <c r="T251" s="322">
        <f t="shared" si="120"/>
        <v>9.9941700921894888E-2</v>
      </c>
      <c r="U251" s="327">
        <f t="shared" si="121"/>
        <v>6.7072353037734382</v>
      </c>
      <c r="V251" s="335">
        <f t="shared" si="122"/>
        <v>6.7072353037734382</v>
      </c>
      <c r="W251" s="327">
        <f t="shared" si="123"/>
        <v>1.3250271601528141E-3</v>
      </c>
      <c r="X251" s="327">
        <f t="shared" si="124"/>
        <v>368.96661353721538</v>
      </c>
      <c r="Y251" s="327">
        <f t="shared" si="78"/>
        <v>165.02630076821035</v>
      </c>
      <c r="Z251" s="107">
        <f>IF(H251&gt;0, rate1(1,$L$52,$L$51,$L$54,U251,$L$53,$L$50,Y251),"")</f>
        <v>2238.8592259910197</v>
      </c>
      <c r="AA251" s="335">
        <f t="shared" si="125"/>
        <v>1.48342285935597</v>
      </c>
      <c r="AB251" s="335">
        <f t="shared" si="126"/>
        <v>-2.7409278119740841E-3</v>
      </c>
      <c r="AC251" s="327">
        <f t="shared" si="127"/>
        <v>9.9941700921894888E-2</v>
      </c>
      <c r="AD251" s="327">
        <f t="shared" si="128"/>
        <v>-0.20011666617151269</v>
      </c>
      <c r="AE251" s="327">
        <f t="shared" si="129"/>
        <v>-2.1679850828708654E-3</v>
      </c>
      <c r="AF251" s="327">
        <f t="shared" si="130"/>
        <v>1479.8960678899707</v>
      </c>
      <c r="AG251" s="327">
        <f t="shared" si="131"/>
        <v>1472.1707593268695</v>
      </c>
      <c r="AH251" s="327">
        <f t="shared" si="132"/>
        <v>6.6877922027822372</v>
      </c>
      <c r="AI251" s="327">
        <f t="shared" si="133"/>
        <v>44.659473330613729</v>
      </c>
      <c r="AJ251" s="327">
        <f t="shared" si="134"/>
        <v>3.1211611325611952</v>
      </c>
      <c r="AK251" s="336">
        <f t="shared" si="135"/>
        <v>28.325323878283974</v>
      </c>
      <c r="AL251" s="42">
        <f t="shared" si="136"/>
        <v>20.681930075988131</v>
      </c>
    </row>
    <row r="252" spans="1:38" x14ac:dyDescent="0.25">
      <c r="A252" s="115"/>
      <c r="B252" s="327">
        <f t="shared" si="107"/>
        <v>1479.8960678899707</v>
      </c>
      <c r="C252" s="327">
        <f t="shared" si="108"/>
        <v>1472.1707593268695</v>
      </c>
      <c r="D252" s="327">
        <f t="shared" si="109"/>
        <v>6.6877922027822372</v>
      </c>
      <c r="E252" s="327">
        <f t="shared" si="72"/>
        <v>71.0308403609923</v>
      </c>
      <c r="F252" s="327">
        <f t="shared" si="110"/>
        <v>70.984163392417358</v>
      </c>
      <c r="G252" s="327">
        <f t="shared" si="111"/>
        <v>2181.3113732541019</v>
      </c>
      <c r="H252" s="312">
        <f t="shared" si="112"/>
        <v>0.02</v>
      </c>
      <c r="I252" s="327">
        <f t="shared" si="113"/>
        <v>4.6351851378607076</v>
      </c>
      <c r="J252" s="327">
        <f t="shared" si="74"/>
        <v>1848</v>
      </c>
      <c r="K252" s="334">
        <f t="shared" si="114"/>
        <v>-1</v>
      </c>
      <c r="L252" s="322">
        <f t="shared" si="115"/>
        <v>6.6677922027822376</v>
      </c>
      <c r="M252" s="322">
        <f t="shared" si="116"/>
        <v>6.6777922027822374</v>
      </c>
      <c r="N252" s="327">
        <f t="shared" si="117"/>
        <v>-4.4857469972141573E-2</v>
      </c>
      <c r="O252" s="327">
        <f t="shared" si="75"/>
        <v>0.10619185831236237</v>
      </c>
      <c r="P252" s="331">
        <f t="shared" si="77"/>
        <v>163.89720785830656</v>
      </c>
      <c r="Q252" s="327">
        <f t="shared" si="118"/>
        <v>344.22045859465788</v>
      </c>
      <c r="R252" s="276">
        <f>IF(H252&gt;0, rate1(1,$L$52,$L$51,$L$54,L252,$L$53,$L$50,P252),"")</f>
        <v>2236.5598766313351</v>
      </c>
      <c r="S252" s="322">
        <f t="shared" si="119"/>
        <v>1.4493221465161186</v>
      </c>
      <c r="T252" s="322">
        <f t="shared" si="120"/>
        <v>9.9833650132650192E-2</v>
      </c>
      <c r="U252" s="327">
        <f t="shared" si="121"/>
        <v>6.6877922027822372</v>
      </c>
      <c r="V252" s="335">
        <f t="shared" si="122"/>
        <v>6.6877922027822372</v>
      </c>
      <c r="W252" s="327">
        <f t="shared" si="123"/>
        <v>1.3173562510377934E-3</v>
      </c>
      <c r="X252" s="327">
        <f t="shared" si="124"/>
        <v>352.63670071699971</v>
      </c>
      <c r="Y252" s="327">
        <f t="shared" si="78"/>
        <v>164.38844783998837</v>
      </c>
      <c r="Z252" s="107">
        <f>IF(H252&gt;0, rate1(1,$L$52,$L$51,$L$54,U252,$L$53,$L$50,Y252),"")</f>
        <v>2237.5635662984937</v>
      </c>
      <c r="AA252" s="335">
        <f t="shared" si="125"/>
        <v>1.484092282971671</v>
      </c>
      <c r="AB252" s="335">
        <f t="shared" si="126"/>
        <v>-2.7212915747200314E-3</v>
      </c>
      <c r="AC252" s="327">
        <f t="shared" si="127"/>
        <v>9.9833650132650192E-2</v>
      </c>
      <c r="AD252" s="327">
        <f t="shared" si="128"/>
        <v>-0.200333254102457</v>
      </c>
      <c r="AE252" s="327">
        <f t="shared" si="129"/>
        <v>-2.168314857674073E-3</v>
      </c>
      <c r="AF252" s="327">
        <f t="shared" si="130"/>
        <v>1479.7513767698658</v>
      </c>
      <c r="AG252" s="327">
        <f t="shared" si="131"/>
        <v>1472.0709256767368</v>
      </c>
      <c r="AH252" s="327">
        <f t="shared" si="132"/>
        <v>6.6683474004991314</v>
      </c>
      <c r="AI252" s="327">
        <f t="shared" si="133"/>
        <v>44.637146170670725</v>
      </c>
      <c r="AJ252" s="327">
        <f t="shared" si="134"/>
        <v>3.1335603398308258</v>
      </c>
      <c r="AK252" s="336">
        <f t="shared" si="135"/>
        <v>28.423465539934234</v>
      </c>
      <c r="AL252" s="42">
        <f t="shared" si="136"/>
        <v>20.764460782703104</v>
      </c>
    </row>
    <row r="253" spans="1:38" x14ac:dyDescent="0.25">
      <c r="A253" s="115"/>
      <c r="B253" s="327">
        <f t="shared" si="107"/>
        <v>1479.7513767698658</v>
      </c>
      <c r="C253" s="327">
        <f t="shared" si="108"/>
        <v>1472.0709256767368</v>
      </c>
      <c r="D253" s="327">
        <f t="shared" si="109"/>
        <v>6.6683474004991314</v>
      </c>
      <c r="E253" s="327">
        <f t="shared" si="72"/>
        <v>71.124202375713338</v>
      </c>
      <c r="F253" s="327">
        <f t="shared" si="110"/>
        <v>71.077521368352819</v>
      </c>
      <c r="G253" s="327">
        <f t="shared" si="111"/>
        <v>2165.1271097459662</v>
      </c>
      <c r="H253" s="312">
        <f t="shared" si="112"/>
        <v>0.02</v>
      </c>
      <c r="I253" s="327">
        <f t="shared" si="113"/>
        <v>4.6082706558774129</v>
      </c>
      <c r="J253" s="327">
        <f t="shared" si="74"/>
        <v>1848</v>
      </c>
      <c r="K253" s="334">
        <f t="shared" si="114"/>
        <v>-1</v>
      </c>
      <c r="L253" s="322">
        <f t="shared" si="115"/>
        <v>6.6483474004991319</v>
      </c>
      <c r="M253" s="322">
        <f t="shared" si="116"/>
        <v>6.6583474004991317</v>
      </c>
      <c r="N253" s="327">
        <f t="shared" si="117"/>
        <v>-4.4730765205407863E-2</v>
      </c>
      <c r="O253" s="327">
        <f t="shared" si="75"/>
        <v>0.10129645009847477</v>
      </c>
      <c r="P253" s="331">
        <f t="shared" si="77"/>
        <v>163.26039684820267</v>
      </c>
      <c r="Q253" s="327">
        <f t="shared" si="118"/>
        <v>327.98217257682609</v>
      </c>
      <c r="R253" s="276">
        <f>IF(H253&gt;0, rate1(1,$L$52,$L$51,$L$54,L253,$L$53,$L$50,P253),"")</f>
        <v>2235.2511236103842</v>
      </c>
      <c r="S253" s="322">
        <f t="shared" si="119"/>
        <v>1.4485373258326697</v>
      </c>
      <c r="T253" s="322">
        <f t="shared" si="120"/>
        <v>9.972584806040205E-2</v>
      </c>
      <c r="U253" s="327">
        <f t="shared" si="121"/>
        <v>6.6683474004991314</v>
      </c>
      <c r="V253" s="335">
        <f t="shared" si="122"/>
        <v>6.6683474004991314</v>
      </c>
      <c r="W253" s="327">
        <f t="shared" si="123"/>
        <v>1.3097069425267449E-3</v>
      </c>
      <c r="X253" s="327">
        <f t="shared" si="124"/>
        <v>336.36645019533216</v>
      </c>
      <c r="Y253" s="327">
        <f t="shared" si="78"/>
        <v>163.75115824981643</v>
      </c>
      <c r="Z253" s="107">
        <f>IF(H253&gt;0, rate1(1,$L$52,$L$51,$L$54,U253,$L$53,$L$50,Y253),"")</f>
        <v>2236.2604847178422</v>
      </c>
      <c r="AA253" s="335">
        <f t="shared" si="125"/>
        <v>1.4848960646904914</v>
      </c>
      <c r="AB253" s="335">
        <f t="shared" si="126"/>
        <v>-2.7010055100420939E-3</v>
      </c>
      <c r="AC253" s="327">
        <f t="shared" si="127"/>
        <v>9.972584806040205E-2</v>
      </c>
      <c r="AD253" s="327">
        <f t="shared" si="128"/>
        <v>-0.20054981119725732</v>
      </c>
      <c r="AE253" s="327">
        <f t="shared" si="129"/>
        <v>-2.1703511660549177E-3</v>
      </c>
      <c r="AF253" s="327">
        <f t="shared" si="130"/>
        <v>1479.6069201565999</v>
      </c>
      <c r="AG253" s="327">
        <f t="shared" si="131"/>
        <v>1471.9711998286764</v>
      </c>
      <c r="AH253" s="327">
        <f t="shared" si="132"/>
        <v>6.6489008965201251</v>
      </c>
      <c r="AI253" s="327">
        <f t="shared" si="133"/>
        <v>44.615053318628718</v>
      </c>
      <c r="AJ253" s="327">
        <f t="shared" si="134"/>
        <v>3.1459534101971114</v>
      </c>
      <c r="AK253" s="336">
        <f t="shared" si="135"/>
        <v>28.520833054545925</v>
      </c>
      <c r="AL253" s="42">
        <f t="shared" si="136"/>
        <v>20.846950228826504</v>
      </c>
    </row>
    <row r="254" spans="1:38" x14ac:dyDescent="0.25">
      <c r="A254" s="115"/>
      <c r="B254" s="327">
        <f t="shared" si="107"/>
        <v>1479.6069201565999</v>
      </c>
      <c r="C254" s="327">
        <f t="shared" si="108"/>
        <v>1471.9711998286764</v>
      </c>
      <c r="D254" s="327">
        <f t="shared" si="109"/>
        <v>6.6489008965201251</v>
      </c>
      <c r="E254" s="327">
        <f t="shared" ref="E254:E278" si="137">bb2wang($B$6,$H$12,C254,$H$8,$H$9,I254,$H$10,$H$11,$K$10,$K$11,$H$13)</f>
        <v>71.217574339704413</v>
      </c>
      <c r="F254" s="327">
        <f t="shared" si="110"/>
        <v>71.170888357708876</v>
      </c>
      <c r="G254" s="327">
        <f t="shared" si="111"/>
        <v>2149.0026844262438</v>
      </c>
      <c r="H254" s="312">
        <f t="shared" si="112"/>
        <v>0.02</v>
      </c>
      <c r="I254" s="327">
        <f t="shared" si="113"/>
        <v>4.5814321967541218</v>
      </c>
      <c r="J254" s="327">
        <f t="shared" ref="J254:J301" si="138">$B$7</f>
        <v>1848</v>
      </c>
      <c r="K254" s="334">
        <f t="shared" si="114"/>
        <v>-1</v>
      </c>
      <c r="L254" s="322">
        <f t="shared" si="115"/>
        <v>6.6289008965201255</v>
      </c>
      <c r="M254" s="322">
        <f t="shared" si="116"/>
        <v>6.6389008965201253</v>
      </c>
      <c r="N254" s="327">
        <f t="shared" si="117"/>
        <v>-4.4604027074498731E-2</v>
      </c>
      <c r="O254" s="327">
        <f t="shared" ref="O254:O278" si="139">IF(wh(B253,$F$51,$F$52,$F$53)&gt;0,wh(B253,$F$51,$F$52,$F$53),O253)</f>
        <v>9.6408970498069277E-2</v>
      </c>
      <c r="P254" s="331">
        <f t="shared" si="77"/>
        <v>162.62415150191953</v>
      </c>
      <c r="Q254" s="327">
        <f t="shared" si="118"/>
        <v>311.80382577865475</v>
      </c>
      <c r="R254" s="276">
        <f>IF(H254&gt;0, rate1(1,$L$52,$L$51,$L$54,L254,$L$53,$L$50,P254),"")</f>
        <v>2233.9348437501521</v>
      </c>
      <c r="S254" s="322">
        <f t="shared" si="119"/>
        <v>1.4477497287887626</v>
      </c>
      <c r="T254" s="322">
        <f t="shared" si="120"/>
        <v>9.9618211260920311E-2</v>
      </c>
      <c r="U254" s="327">
        <f t="shared" si="121"/>
        <v>6.6489008965201251</v>
      </c>
      <c r="V254" s="335">
        <f t="shared" si="122"/>
        <v>6.6489008965201251</v>
      </c>
      <c r="W254" s="327">
        <f t="shared" si="123"/>
        <v>1.3020792403288795E-3</v>
      </c>
      <c r="X254" s="327">
        <f t="shared" si="124"/>
        <v>320.15605359717665</v>
      </c>
      <c r="Y254" s="327">
        <f t="shared" si="78"/>
        <v>163.11443334904325</v>
      </c>
      <c r="Z254" s="107">
        <f>IF(H254&gt;0, rate1(1,$L$52,$L$51,$L$54,U254,$L$53,$L$50,Y254),"")</f>
        <v>2234.9499216252061</v>
      </c>
      <c r="AA254" s="335">
        <f t="shared" si="125"/>
        <v>1.485855158450059</v>
      </c>
      <c r="AB254" s="335">
        <f t="shared" si="126"/>
        <v>-2.6799740986237159E-3</v>
      </c>
      <c r="AC254" s="327">
        <f t="shared" si="127"/>
        <v>9.9618211260920311E-2</v>
      </c>
      <c r="AD254" s="327">
        <f t="shared" si="128"/>
        <v>-0.20076650390374851</v>
      </c>
      <c r="AE254" s="327">
        <f t="shared" si="129"/>
        <v>-2.1740573281083114E-3</v>
      </c>
      <c r="AF254" s="327">
        <f t="shared" si="130"/>
        <v>1479.4626979182644</v>
      </c>
      <c r="AG254" s="327">
        <f t="shared" si="131"/>
        <v>1471.8715816174154</v>
      </c>
      <c r="AH254" s="327">
        <f t="shared" si="132"/>
        <v>6.6294526904390425</v>
      </c>
      <c r="AI254" s="327">
        <f t="shared" si="133"/>
        <v>44.59315881106415</v>
      </c>
      <c r="AJ254" s="327">
        <f t="shared" si="134"/>
        <v>3.1583403987557404</v>
      </c>
      <c r="AK254" s="336">
        <f t="shared" si="135"/>
        <v>28.617430315988848</v>
      </c>
      <c r="AL254" s="42">
        <f t="shared" si="136"/>
        <v>20.92939884735933</v>
      </c>
    </row>
    <row r="255" spans="1:38" x14ac:dyDescent="0.25">
      <c r="A255" s="115"/>
      <c r="B255" s="327">
        <f t="shared" si="107"/>
        <v>1479.4626979182644</v>
      </c>
      <c r="C255" s="327">
        <f t="shared" si="108"/>
        <v>1471.8715816174154</v>
      </c>
      <c r="D255" s="327">
        <f t="shared" si="109"/>
        <v>6.6294526904390425</v>
      </c>
      <c r="E255" s="327">
        <f t="shared" si="137"/>
        <v>71.310957933443262</v>
      </c>
      <c r="F255" s="327">
        <f t="shared" si="110"/>
        <v>71.264266136573838</v>
      </c>
      <c r="G255" s="327">
        <f t="shared" si="111"/>
        <v>2132.9382775191893</v>
      </c>
      <c r="H255" s="312">
        <f t="shared" si="112"/>
        <v>0.02</v>
      </c>
      <c r="I255" s="327">
        <f t="shared" si="113"/>
        <v>4.5546697805094478</v>
      </c>
      <c r="J255" s="327">
        <f t="shared" si="138"/>
        <v>1848</v>
      </c>
      <c r="K255" s="334">
        <f t="shared" si="114"/>
        <v>-1</v>
      </c>
      <c r="L255" s="322">
        <f t="shared" si="115"/>
        <v>6.6094526904390429</v>
      </c>
      <c r="M255" s="322">
        <f t="shared" si="116"/>
        <v>6.6194526904390427</v>
      </c>
      <c r="N255" s="327">
        <f t="shared" si="117"/>
        <v>-4.4477255570907204E-2</v>
      </c>
      <c r="O255" s="327">
        <f t="shared" si="139"/>
        <v>9.1529412236518823E-2</v>
      </c>
      <c r="P255" s="331">
        <f t="shared" ref="P255:P278" si="140">IF(H255&gt;0, $C$54*$L$55*$L$55*M255*M255/(($B$19*(B255-C255))^0.333)*1000,"")</f>
        <v>161.98847318210133</v>
      </c>
      <c r="Q255" s="327">
        <f t="shared" si="118"/>
        <v>295.68559549929114</v>
      </c>
      <c r="R255" s="276">
        <f>IF(H255&gt;0, rate1(1,$L$52,$L$51,$L$54,L255,$L$53,$L$50,P255),"")</f>
        <v>2232.6109763528566</v>
      </c>
      <c r="S255" s="322">
        <f t="shared" si="119"/>
        <v>1.4469597117034105</v>
      </c>
      <c r="T255" s="322">
        <f t="shared" si="120"/>
        <v>9.9510659252485423E-2</v>
      </c>
      <c r="U255" s="327">
        <f t="shared" si="121"/>
        <v>6.6294526904390425</v>
      </c>
      <c r="V255" s="335">
        <f t="shared" si="122"/>
        <v>6.6294526904390425</v>
      </c>
      <c r="W255" s="327">
        <f t="shared" si="123"/>
        <v>1.294473150108999E-3</v>
      </c>
      <c r="X255" s="327">
        <f t="shared" si="124"/>
        <v>304.00569292011323</v>
      </c>
      <c r="Y255" s="327">
        <f t="shared" ref="Y255:Y278" si="141">IF(H255&gt;0, $C$54*$L$55*$L$55*V255*V255/(($B$19*(B255-C255))^0.333)*1000,"")</f>
        <v>162.47827449549879</v>
      </c>
      <c r="Z255" s="107">
        <f>IF(H255&gt;0, rate1(1,$L$52,$L$51,$L$54,U255,$L$53,$L$50,Y255),"")</f>
        <v>2233.6318167858808</v>
      </c>
      <c r="AA255" s="335">
        <f t="shared" si="125"/>
        <v>1.486994820076079</v>
      </c>
      <c r="AB255" s="335">
        <f t="shared" si="126"/>
        <v>-2.6580840221396497E-3</v>
      </c>
      <c r="AC255" s="327">
        <f t="shared" si="127"/>
        <v>9.9510659252485423E-2</v>
      </c>
      <c r="AD255" s="327">
        <f t="shared" si="128"/>
        <v>-0.20098349413256925</v>
      </c>
      <c r="AE255" s="327">
        <f t="shared" si="129"/>
        <v>-2.17939496428904E-3</v>
      </c>
      <c r="AF255" s="327">
        <f t="shared" si="130"/>
        <v>1479.3187100034411</v>
      </c>
      <c r="AG255" s="327">
        <f t="shared" si="131"/>
        <v>1471.7720709581629</v>
      </c>
      <c r="AH255" s="327">
        <f t="shared" si="132"/>
        <v>6.6100027818472027</v>
      </c>
      <c r="AI255" s="327">
        <f t="shared" si="133"/>
        <v>44.571427940860438</v>
      </c>
      <c r="AJ255" s="327">
        <f t="shared" si="134"/>
        <v>3.1707213509615348</v>
      </c>
      <c r="AK255" s="336">
        <f t="shared" si="135"/>
        <v>28.713261133980872</v>
      </c>
      <c r="AL255" s="42">
        <f t="shared" si="136"/>
        <v>21.011807004842176</v>
      </c>
    </row>
    <row r="256" spans="1:38" x14ac:dyDescent="0.25">
      <c r="A256" s="115"/>
      <c r="B256" s="327">
        <f t="shared" si="107"/>
        <v>1479.3187100034411</v>
      </c>
      <c r="C256" s="327">
        <f t="shared" si="108"/>
        <v>1471.7720709581629</v>
      </c>
      <c r="D256" s="327">
        <f t="shared" si="109"/>
        <v>6.6100027818472027</v>
      </c>
      <c r="E256" s="327">
        <f t="shared" si="137"/>
        <v>71.404354652880173</v>
      </c>
      <c r="F256" s="327">
        <f t="shared" si="110"/>
        <v>71.35765629316171</v>
      </c>
      <c r="G256" s="327">
        <f t="shared" si="111"/>
        <v>2116.9340601676263</v>
      </c>
      <c r="H256" s="312">
        <f t="shared" si="112"/>
        <v>0.02</v>
      </c>
      <c r="I256" s="327">
        <f t="shared" si="113"/>
        <v>4.5279834271669186</v>
      </c>
      <c r="J256" s="327">
        <f t="shared" si="138"/>
        <v>1848</v>
      </c>
      <c r="K256" s="334">
        <f t="shared" si="114"/>
        <v>-1</v>
      </c>
      <c r="L256" s="322">
        <f t="shared" si="115"/>
        <v>6.5900027818472031</v>
      </c>
      <c r="M256" s="322">
        <f t="shared" si="116"/>
        <v>6.6000027818472029</v>
      </c>
      <c r="N256" s="327">
        <f t="shared" si="117"/>
        <v>-4.4350450686117426E-2</v>
      </c>
      <c r="O256" s="327">
        <f t="shared" si="139"/>
        <v>8.6657770858122055E-2</v>
      </c>
      <c r="P256" s="331">
        <f t="shared" si="140"/>
        <v>161.35336325795319</v>
      </c>
      <c r="Q256" s="327">
        <f t="shared" si="118"/>
        <v>279.6276501364564</v>
      </c>
      <c r="R256" s="276">
        <f>IF(H256&gt;0, rate1(1,$L$52,$L$51,$L$54,L256,$L$53,$L$50,P256),"")</f>
        <v>2231.279460096594</v>
      </c>
      <c r="S256" s="322">
        <f t="shared" si="119"/>
        <v>1.4461676162930033</v>
      </c>
      <c r="T256" s="322">
        <f t="shared" si="120"/>
        <v>9.9403114584165578E-2</v>
      </c>
      <c r="U256" s="327">
        <f t="shared" si="121"/>
        <v>6.6100027818472027</v>
      </c>
      <c r="V256" s="335">
        <f t="shared" si="122"/>
        <v>6.6100027818472027</v>
      </c>
      <c r="W256" s="327">
        <f t="shared" si="123"/>
        <v>1.2868886775709854E-3</v>
      </c>
      <c r="X256" s="327">
        <f t="shared" si="124"/>
        <v>287.91554102028749</v>
      </c>
      <c r="Y256" s="327">
        <f t="shared" si="141"/>
        <v>161.84268305353555</v>
      </c>
      <c r="Z256" s="107">
        <f>IF(H256&gt;0, rate1(1,$L$52,$L$51,$L$54,U256,$L$53,$L$50,Y256),"")</f>
        <v>2232.30610934675</v>
      </c>
      <c r="AA256" s="335">
        <f t="shared" si="125"/>
        <v>1.4883458013110662</v>
      </c>
      <c r="AB256" s="335">
        <f t="shared" si="126"/>
        <v>-2.6351996354142173E-3</v>
      </c>
      <c r="AC256" s="327">
        <f t="shared" si="127"/>
        <v>9.9403114584165578E-2</v>
      </c>
      <c r="AD256" s="327">
        <f t="shared" si="128"/>
        <v>-0.20120093906178169</v>
      </c>
      <c r="AE256" s="327">
        <f t="shared" si="129"/>
        <v>-2.1863235010664188E-3</v>
      </c>
      <c r="AF256" s="327">
        <f t="shared" si="130"/>
        <v>1479.1749564381707</v>
      </c>
      <c r="AG256" s="327">
        <f t="shared" si="131"/>
        <v>1471.6726678435787</v>
      </c>
      <c r="AH256" s="327">
        <f t="shared" si="132"/>
        <v>6.5905511703335717</v>
      </c>
      <c r="AI256" s="327">
        <f t="shared" si="133"/>
        <v>44.549827290509967</v>
      </c>
      <c r="AJ256" s="327">
        <f t="shared" si="134"/>
        <v>3.1830963029866766</v>
      </c>
      <c r="AK256" s="336">
        <f t="shared" si="135"/>
        <v>28.808329238719622</v>
      </c>
      <c r="AL256" s="42">
        <f t="shared" si="136"/>
        <v>21.094175003676884</v>
      </c>
    </row>
    <row r="257" spans="1:38" x14ac:dyDescent="0.25">
      <c r="A257" s="115"/>
      <c r="B257" s="327">
        <f t="shared" si="107"/>
        <v>1479.1749564381707</v>
      </c>
      <c r="C257" s="327">
        <f t="shared" si="108"/>
        <v>1471.6726678435787</v>
      </c>
      <c r="D257" s="327">
        <f t="shared" si="109"/>
        <v>6.5905511703335717</v>
      </c>
      <c r="E257" s="327">
        <f t="shared" si="137"/>
        <v>71.497765816247977</v>
      </c>
      <c r="F257" s="327">
        <f t="shared" si="110"/>
        <v>71.451060234564068</v>
      </c>
      <c r="G257" s="327">
        <f t="shared" si="111"/>
        <v>2100.9901949033642</v>
      </c>
      <c r="H257" s="312">
        <f t="shared" si="112"/>
        <v>0.02</v>
      </c>
      <c r="I257" s="327">
        <f t="shared" si="113"/>
        <v>4.5013731567552435</v>
      </c>
      <c r="J257" s="327">
        <f t="shared" si="138"/>
        <v>1848</v>
      </c>
      <c r="K257" s="334">
        <f t="shared" si="114"/>
        <v>-1</v>
      </c>
      <c r="L257" s="322">
        <f t="shared" si="115"/>
        <v>6.5705511703335722</v>
      </c>
      <c r="M257" s="322">
        <f t="shared" si="116"/>
        <v>6.580551170333572</v>
      </c>
      <c r="N257" s="327">
        <f t="shared" si="117"/>
        <v>-4.4223612411602886E-2</v>
      </c>
      <c r="O257" s="327">
        <f t="shared" si="139"/>
        <v>8.179404462603565E-2</v>
      </c>
      <c r="P257" s="331">
        <f t="shared" si="140"/>
        <v>160.71882310529833</v>
      </c>
      <c r="Q257" s="327">
        <f t="shared" si="118"/>
        <v>263.63014965428692</v>
      </c>
      <c r="R257" s="276">
        <f>IF(H257&gt;0, rate1(1,$L$52,$L$51,$L$54,L257,$L$53,$L$50,P257),"")</f>
        <v>2229.9402330276207</v>
      </c>
      <c r="S257" s="322">
        <f t="shared" si="119"/>
        <v>1.4453737692622062</v>
      </c>
      <c r="T257" s="322">
        <f t="shared" si="120"/>
        <v>9.9295502931981139E-2</v>
      </c>
      <c r="U257" s="327">
        <f t="shared" si="121"/>
        <v>6.5905511703335717</v>
      </c>
      <c r="V257" s="335">
        <f t="shared" si="122"/>
        <v>6.5905511703335717</v>
      </c>
      <c r="W257" s="327">
        <f t="shared" si="123"/>
        <v>1.2793258284027331E-3</v>
      </c>
      <c r="X257" s="327">
        <f t="shared" si="124"/>
        <v>271.88576208612039</v>
      </c>
      <c r="Y257" s="327">
        <f t="shared" si="141"/>
        <v>161.20766039408545</v>
      </c>
      <c r="Z257" s="107">
        <f>IF(H257&gt;0, rate1(1,$L$52,$L$51,$L$54,U257,$L$53,$L$50,Y257),"")</f>
        <v>2230.9727378286439</v>
      </c>
      <c r="AA257" s="335">
        <f t="shared" si="125"/>
        <v>1.4899459635142811</v>
      </c>
      <c r="AB257" s="335">
        <f t="shared" si="126"/>
        <v>-2.6111569921433652E-3</v>
      </c>
      <c r="AC257" s="327">
        <f t="shared" si="127"/>
        <v>9.9295502931981139E-2</v>
      </c>
      <c r="AD257" s="327">
        <f t="shared" si="128"/>
        <v>-0.20141899088521956</v>
      </c>
      <c r="AE257" s="327">
        <f t="shared" si="129"/>
        <v>-2.1947996031744001E-3</v>
      </c>
      <c r="AF257" s="327">
        <f t="shared" si="130"/>
        <v>1479.0314373228271</v>
      </c>
      <c r="AG257" s="327">
        <f t="shared" si="131"/>
        <v>1471.5733723406468</v>
      </c>
      <c r="AH257" s="327">
        <f t="shared" si="132"/>
        <v>6.5710978554846333</v>
      </c>
      <c r="AI257" s="327">
        <f t="shared" si="133"/>
        <v>44.528324778088901</v>
      </c>
      <c r="AJ257" s="327">
        <f t="shared" si="134"/>
        <v>3.1954652820917011</v>
      </c>
      <c r="AK257" s="336">
        <f t="shared" si="135"/>
        <v>28.902638285485487</v>
      </c>
      <c r="AL257" s="42">
        <f t="shared" si="136"/>
        <v>21.176503084509747</v>
      </c>
    </row>
    <row r="258" spans="1:38" x14ac:dyDescent="0.25">
      <c r="A258" s="115"/>
      <c r="B258" s="327">
        <f t="shared" si="107"/>
        <v>1479.0314373228271</v>
      </c>
      <c r="C258" s="327">
        <f t="shared" si="108"/>
        <v>1471.5733723406468</v>
      </c>
      <c r="D258" s="327">
        <f t="shared" si="109"/>
        <v>6.5710978554846333</v>
      </c>
      <c r="E258" s="327">
        <f t="shared" si="137"/>
        <v>71.591192571035265</v>
      </c>
      <c r="F258" s="327">
        <f t="shared" si="110"/>
        <v>71.544479193641621</v>
      </c>
      <c r="G258" s="327">
        <f t="shared" si="111"/>
        <v>2085.1068361063822</v>
      </c>
      <c r="H258" s="312">
        <f t="shared" si="112"/>
        <v>0.02</v>
      </c>
      <c r="I258" s="327">
        <f t="shared" si="113"/>
        <v>4.4748389893081821</v>
      </c>
      <c r="J258" s="327">
        <f t="shared" si="138"/>
        <v>1848</v>
      </c>
      <c r="K258" s="334">
        <f t="shared" si="114"/>
        <v>-1</v>
      </c>
      <c r="L258" s="322">
        <f t="shared" si="115"/>
        <v>6.5510978554846337</v>
      </c>
      <c r="M258" s="322">
        <f t="shared" si="116"/>
        <v>6.5610978554846335</v>
      </c>
      <c r="N258" s="327">
        <f t="shared" si="117"/>
        <v>-4.4096740738810425E-2</v>
      </c>
      <c r="O258" s="327">
        <f t="shared" si="139"/>
        <v>7.6938234419886939E-2</v>
      </c>
      <c r="P258" s="331">
        <f t="shared" si="140"/>
        <v>160.08485410662755</v>
      </c>
      <c r="Q258" s="327">
        <f t="shared" si="118"/>
        <v>247.69324604062786</v>
      </c>
      <c r="R258" s="276">
        <f>IF(H258&gt;0, rate1(1,$L$52,$L$51,$L$54,L258,$L$53,$L$50,P258),"")</f>
        <v>2228.5932325524991</v>
      </c>
      <c r="S258" s="322">
        <f t="shared" si="119"/>
        <v>1.4445784817455272</v>
      </c>
      <c r="T258" s="322">
        <f t="shared" si="120"/>
        <v>9.9187753230150735E-2</v>
      </c>
      <c r="U258" s="327">
        <f t="shared" si="121"/>
        <v>6.5710978554846333</v>
      </c>
      <c r="V258" s="335">
        <f t="shared" si="122"/>
        <v>6.5710978554846333</v>
      </c>
      <c r="W258" s="327">
        <f t="shared" si="123"/>
        <v>1.2717846082992423E-3</v>
      </c>
      <c r="X258" s="327">
        <f t="shared" si="124"/>
        <v>255.91651210078226</v>
      </c>
      <c r="Y258" s="327">
        <f t="shared" si="141"/>
        <v>160.57320789470867</v>
      </c>
      <c r="Z258" s="107">
        <f>IF(H258&gt;0, rate1(1,$L$52,$L$51,$L$54,U258,$L$53,$L$50,Y258),"")</f>
        <v>2229.6316401185732</v>
      </c>
      <c r="AA258" s="335">
        <f t="shared" si="125"/>
        <v>1.4918424938597954</v>
      </c>
      <c r="AB258" s="335">
        <f t="shared" si="126"/>
        <v>-2.5857558551290552E-3</v>
      </c>
      <c r="AC258" s="327">
        <f t="shared" si="127"/>
        <v>9.9187753230150735E-2</v>
      </c>
      <c r="AD258" s="327">
        <f t="shared" si="128"/>
        <v>-0.20163779648877531</v>
      </c>
      <c r="AE258" s="327">
        <f t="shared" si="129"/>
        <v>-2.2047764409610176E-3</v>
      </c>
      <c r="AF258" s="327">
        <f t="shared" si="130"/>
        <v>1478.8881528288582</v>
      </c>
      <c r="AG258" s="327">
        <f t="shared" si="131"/>
        <v>1471.4741845874166</v>
      </c>
      <c r="AH258" s="327">
        <f t="shared" si="132"/>
        <v>6.5516428368846489</v>
      </c>
      <c r="AI258" s="327">
        <f t="shared" si="133"/>
        <v>44.506889719191577</v>
      </c>
      <c r="AJ258" s="327">
        <f t="shared" si="134"/>
        <v>3.2078283070136986</v>
      </c>
      <c r="AK258" s="336">
        <f t="shared" si="135"/>
        <v>28.996191859239726</v>
      </c>
      <c r="AL258" s="42">
        <f t="shared" si="136"/>
        <v>21.258791428699656</v>
      </c>
    </row>
    <row r="259" spans="1:38" x14ac:dyDescent="0.25">
      <c r="A259" s="115"/>
      <c r="B259" s="327">
        <f t="shared" si="107"/>
        <v>1478.8881528288582</v>
      </c>
      <c r="C259" s="327">
        <f t="shared" si="108"/>
        <v>1471.4741845874166</v>
      </c>
      <c r="D259" s="327">
        <f t="shared" si="109"/>
        <v>6.5516428368846489</v>
      </c>
      <c r="E259" s="327">
        <f t="shared" si="137"/>
        <v>71.684635901205439</v>
      </c>
      <c r="F259" s="327">
        <f t="shared" si="110"/>
        <v>71.637914236120352</v>
      </c>
      <c r="G259" s="327">
        <f t="shared" si="111"/>
        <v>2069.284130455359</v>
      </c>
      <c r="H259" s="312">
        <f t="shared" si="112"/>
        <v>0.02</v>
      </c>
      <c r="I259" s="327">
        <f t="shared" si="113"/>
        <v>4.4483809448649483</v>
      </c>
      <c r="J259" s="327">
        <f t="shared" si="138"/>
        <v>1848</v>
      </c>
      <c r="K259" s="334">
        <f t="shared" si="114"/>
        <v>-1</v>
      </c>
      <c r="L259" s="322">
        <f t="shared" si="115"/>
        <v>6.5316428368846493</v>
      </c>
      <c r="M259" s="322">
        <f t="shared" si="116"/>
        <v>6.5416428368846491</v>
      </c>
      <c r="N259" s="327">
        <f t="shared" si="117"/>
        <v>-4.3969835659170897E-2</v>
      </c>
      <c r="O259" s="327">
        <f t="shared" si="139"/>
        <v>7.2090343630168668E-2</v>
      </c>
      <c r="P259" s="331">
        <f t="shared" si="140"/>
        <v>159.45145765116132</v>
      </c>
      <c r="Q259" s="327">
        <f t="shared" si="118"/>
        <v>231.81708375679864</v>
      </c>
      <c r="R259" s="276">
        <f>IF(H259&gt;0, rate1(1,$L$52,$L$51,$L$54,L259,$L$53,$L$50,P259),"")</f>
        <v>2227.2383954301595</v>
      </c>
      <c r="S259" s="322">
        <f t="shared" si="119"/>
        <v>1.4437820485661585</v>
      </c>
      <c r="T259" s="322">
        <f t="shared" si="120"/>
        <v>9.9079797844990838E-2</v>
      </c>
      <c r="U259" s="327">
        <f t="shared" si="121"/>
        <v>6.5516428368846489</v>
      </c>
      <c r="V259" s="335">
        <f t="shared" si="122"/>
        <v>6.5516428368846489</v>
      </c>
      <c r="W259" s="327">
        <f t="shared" si="123"/>
        <v>1.2642650229484076E-3</v>
      </c>
      <c r="X259" s="327">
        <f t="shared" si="124"/>
        <v>240.00793929597148</v>
      </c>
      <c r="Y259" s="327">
        <f t="shared" si="141"/>
        <v>159.9393269396555</v>
      </c>
      <c r="Z259" s="107">
        <f>IF(H259&gt;0, rate1(1,$L$52,$L$51,$L$54,U259,$L$53,$L$50,Y259),"")</f>
        <v>2228.2827534618714</v>
      </c>
      <c r="AA259" s="335">
        <f t="shared" si="125"/>
        <v>1.4940950039245131</v>
      </c>
      <c r="AB259" s="335">
        <f t="shared" si="126"/>
        <v>-2.5587488497284209E-3</v>
      </c>
      <c r="AC259" s="327">
        <f t="shared" si="127"/>
        <v>9.9079797844990838E-2</v>
      </c>
      <c r="AD259" s="327">
        <f t="shared" si="128"/>
        <v>-0.2018574970377893</v>
      </c>
      <c r="AE259" s="327">
        <f t="shared" si="129"/>
        <v>-2.2162027807639162E-3</v>
      </c>
      <c r="AF259" s="327">
        <f t="shared" si="130"/>
        <v>1478.745103195354</v>
      </c>
      <c r="AG259" s="327">
        <f t="shared" si="131"/>
        <v>1471.3751047895717</v>
      </c>
      <c r="AH259" s="327">
        <f t="shared" si="132"/>
        <v>6.5321861141150226</v>
      </c>
      <c r="AI259" s="327">
        <f t="shared" si="133"/>
        <v>44.485492908295065</v>
      </c>
      <c r="AJ259" s="327">
        <f t="shared" si="134"/>
        <v>3.2201853883771139</v>
      </c>
      <c r="AK259" s="336">
        <f t="shared" si="135"/>
        <v>29.088993479247044</v>
      </c>
      <c r="AL259" s="42">
        <f t="shared" si="136"/>
        <v>21.341040160900722</v>
      </c>
    </row>
    <row r="260" spans="1:38" x14ac:dyDescent="0.25">
      <c r="A260" s="115"/>
      <c r="B260" s="327">
        <f t="shared" si="107"/>
        <v>1478.745103195354</v>
      </c>
      <c r="C260" s="327">
        <f t="shared" si="108"/>
        <v>1471.3751047895717</v>
      </c>
      <c r="D260" s="327">
        <f t="shared" si="109"/>
        <v>6.5321861141150226</v>
      </c>
      <c r="E260" s="327">
        <f t="shared" si="137"/>
        <v>71.778096634736116</v>
      </c>
      <c r="F260" s="327">
        <f t="shared" si="110"/>
        <v>71.73136626797077</v>
      </c>
      <c r="G260" s="327">
        <f t="shared" si="111"/>
        <v>2053.5222173703792</v>
      </c>
      <c r="H260" s="312">
        <f t="shared" si="112"/>
        <v>0.02</v>
      </c>
      <c r="I260" s="327">
        <f t="shared" si="113"/>
        <v>4.4219990434693957</v>
      </c>
      <c r="J260" s="327">
        <f t="shared" si="138"/>
        <v>1848</v>
      </c>
      <c r="K260" s="334">
        <f t="shared" si="114"/>
        <v>-1</v>
      </c>
      <c r="L260" s="322">
        <f t="shared" si="115"/>
        <v>6.512186114115023</v>
      </c>
      <c r="M260" s="322">
        <f t="shared" si="116"/>
        <v>6.5221861141150228</v>
      </c>
      <c r="N260" s="327">
        <f t="shared" si="117"/>
        <v>-4.3842897164095618E-2</v>
      </c>
      <c r="O260" s="327">
        <f t="shared" si="139"/>
        <v>6.7250378048178863E-2</v>
      </c>
      <c r="P260" s="331">
        <f t="shared" si="140"/>
        <v>158.81863513488346</v>
      </c>
      <c r="Q260" s="327">
        <f t="shared" si="118"/>
        <v>216.00180018052788</v>
      </c>
      <c r="R260" s="276">
        <f>IF(H260&gt;0, rate1(1,$L$52,$L$51,$L$54,L260,$L$53,$L$50,P260),"")</f>
        <v>2225.8756577637823</v>
      </c>
      <c r="S260" s="322">
        <f t="shared" si="119"/>
        <v>1.4429847472519235</v>
      </c>
      <c r="T260" s="322">
        <f t="shared" si="120"/>
        <v>9.8971572804881142E-2</v>
      </c>
      <c r="U260" s="327">
        <f t="shared" si="121"/>
        <v>6.5321861141150226</v>
      </c>
      <c r="V260" s="335">
        <f t="shared" si="122"/>
        <v>6.5321861141150226</v>
      </c>
      <c r="W260" s="327">
        <f t="shared" si="123"/>
        <v>1.2567670780665452E-3</v>
      </c>
      <c r="X260" s="327">
        <f t="shared" si="124"/>
        <v>224.1601845978953</v>
      </c>
      <c r="Y260" s="327">
        <f t="shared" si="141"/>
        <v>159.30601891989963</v>
      </c>
      <c r="Z260" s="107">
        <f>IF(H260&gt;0, rate1(1,$L$52,$L$51,$L$54,U260,$L$53,$L$50,Y260),"")</f>
        <v>2226.9260144541663</v>
      </c>
      <c r="AA260" s="335">
        <f t="shared" si="125"/>
        <v>1.4967799496968279</v>
      </c>
      <c r="AB260" s="335">
        <f t="shared" si="126"/>
        <v>-2.5298264932663204E-3</v>
      </c>
      <c r="AC260" s="327">
        <f t="shared" si="127"/>
        <v>9.8971572804881142E-2</v>
      </c>
      <c r="AD260" s="327">
        <f t="shared" si="128"/>
        <v>-0.20207822744647369</v>
      </c>
      <c r="AE260" s="327">
        <f t="shared" si="129"/>
        <v>-2.229021773089525E-3</v>
      </c>
      <c r="AF260" s="327">
        <f t="shared" si="130"/>
        <v>1478.6022887253851</v>
      </c>
      <c r="AG260" s="327">
        <f t="shared" si="131"/>
        <v>1471.2761332167668</v>
      </c>
      <c r="AH260" s="327">
        <f t="shared" si="132"/>
        <v>6.5127276867549586</v>
      </c>
      <c r="AI260" s="327">
        <f t="shared" si="133"/>
        <v>44.464106725670632</v>
      </c>
      <c r="AJ260" s="327">
        <f t="shared" si="134"/>
        <v>3.2325365291342445</v>
      </c>
      <c r="AK260" s="336">
        <f t="shared" si="135"/>
        <v>29.181046603757665</v>
      </c>
      <c r="AL260" s="42">
        <f t="shared" si="136"/>
        <v>21.423249351795253</v>
      </c>
    </row>
    <row r="261" spans="1:38" x14ac:dyDescent="0.25">
      <c r="A261" s="115"/>
      <c r="B261" s="327">
        <f t="shared" si="107"/>
        <v>1478.6022887253851</v>
      </c>
      <c r="C261" s="327">
        <f t="shared" si="108"/>
        <v>1471.2761332167668</v>
      </c>
      <c r="D261" s="327">
        <f t="shared" si="109"/>
        <v>6.5127276867549586</v>
      </c>
      <c r="E261" s="327">
        <f t="shared" si="137"/>
        <v>71.871575451610326</v>
      </c>
      <c r="F261" s="327">
        <f t="shared" si="110"/>
        <v>71.824836043173221</v>
      </c>
      <c r="G261" s="327">
        <f t="shared" si="111"/>
        <v>2037.8212294526531</v>
      </c>
      <c r="H261" s="312">
        <f t="shared" si="112"/>
        <v>0.02</v>
      </c>
      <c r="I261" s="327">
        <f t="shared" si="113"/>
        <v>4.3956933051709708</v>
      </c>
      <c r="J261" s="327">
        <f t="shared" si="138"/>
        <v>1848</v>
      </c>
      <c r="K261" s="334">
        <f t="shared" si="114"/>
        <v>-1</v>
      </c>
      <c r="L261" s="322">
        <f t="shared" si="115"/>
        <v>6.492727686754959</v>
      </c>
      <c r="M261" s="322">
        <f t="shared" si="116"/>
        <v>6.5027276867549588</v>
      </c>
      <c r="N261" s="327">
        <f t="shared" si="117"/>
        <v>-4.3715925244976361E-2</v>
      </c>
      <c r="O261" s="327">
        <f t="shared" si="139"/>
        <v>6.2418345750062471E-2</v>
      </c>
      <c r="P261" s="331">
        <f t="shared" si="140"/>
        <v>158.18638796061776</v>
      </c>
      <c r="Q261" s="327">
        <f t="shared" si="118"/>
        <v>200.2475260475976</v>
      </c>
      <c r="R261" s="276">
        <f>IF(H261&gt;0, rate1(1,$L$52,$L$51,$L$54,L261,$L$53,$L$50,P261),"")</f>
        <v>2224.5049549926603</v>
      </c>
      <c r="S261" s="322">
        <f t="shared" si="119"/>
        <v>1.4421868367509405</v>
      </c>
      <c r="T261" s="322">
        <f t="shared" si="120"/>
        <v>9.8863018099290767E-2</v>
      </c>
      <c r="U261" s="327">
        <f t="shared" si="121"/>
        <v>6.5127276867549586</v>
      </c>
      <c r="V261" s="335">
        <f t="shared" si="122"/>
        <v>6.5127276867549586</v>
      </c>
      <c r="W261" s="327">
        <f t="shared" si="123"/>
        <v>1.2492907793273389E-3</v>
      </c>
      <c r="X261" s="327">
        <f t="shared" si="124"/>
        <v>208.37338207024322</v>
      </c>
      <c r="Y261" s="327">
        <f t="shared" si="141"/>
        <v>158.67328523321402</v>
      </c>
      <c r="Z261" s="107">
        <f>IF(H261&gt;0, rate1(1,$L$52,$L$51,$L$54,U261,$L$53,$L$50,Y261),"")</f>
        <v>2225.5613590333255</v>
      </c>
      <c r="AA261" s="335">
        <f t="shared" si="125"/>
        <v>1.4999970807944967</v>
      </c>
      <c r="AB261" s="335">
        <f t="shared" si="126"/>
        <v>-2.4985961464859207E-3</v>
      </c>
      <c r="AC261" s="327">
        <f t="shared" si="127"/>
        <v>9.8863018099290767E-2</v>
      </c>
      <c r="AD261" s="327">
        <f t="shared" si="128"/>
        <v>-0.20230011570063</v>
      </c>
      <c r="AE261" s="327">
        <f t="shared" si="129"/>
        <v>-2.2431694390976334E-3</v>
      </c>
      <c r="AF261" s="327">
        <f t="shared" si="130"/>
        <v>1478.4597097820408</v>
      </c>
      <c r="AG261" s="327">
        <f t="shared" si="131"/>
        <v>1471.1772701986674</v>
      </c>
      <c r="AH261" s="327">
        <f t="shared" si="132"/>
        <v>6.4932675543809264</v>
      </c>
      <c r="AI261" s="327">
        <f t="shared" si="133"/>
        <v>44.442705275797849</v>
      </c>
      <c r="AJ261" s="327">
        <f t="shared" si="134"/>
        <v>3.2448817250441881</v>
      </c>
      <c r="AK261" s="336">
        <f t="shared" si="135"/>
        <v>29.272354634794358</v>
      </c>
      <c r="AL261" s="42">
        <f t="shared" si="136"/>
        <v>21.505419021024291</v>
      </c>
    </row>
    <row r="262" spans="1:38" x14ac:dyDescent="0.25">
      <c r="A262" s="115"/>
      <c r="B262" s="327">
        <f t="shared" si="107"/>
        <v>1478.4597097820408</v>
      </c>
      <c r="C262" s="327">
        <f t="shared" si="108"/>
        <v>1471.1772701986674</v>
      </c>
      <c r="D262" s="327">
        <f t="shared" si="109"/>
        <v>6.4932675543809264</v>
      </c>
      <c r="E262" s="327">
        <f t="shared" si="137"/>
        <v>71.965072892384242</v>
      </c>
      <c r="F262" s="327">
        <f t="shared" si="110"/>
        <v>71.918324171997284</v>
      </c>
      <c r="G262" s="327">
        <f t="shared" si="111"/>
        <v>2022.1812929219554</v>
      </c>
      <c r="H262" s="312">
        <f t="shared" si="112"/>
        <v>0.02</v>
      </c>
      <c r="I262" s="327">
        <f t="shared" si="113"/>
        <v>4.3694637500240328</v>
      </c>
      <c r="J262" s="327">
        <f t="shared" si="138"/>
        <v>1848</v>
      </c>
      <c r="K262" s="334">
        <f t="shared" si="114"/>
        <v>-1</v>
      </c>
      <c r="L262" s="322">
        <f t="shared" si="115"/>
        <v>6.4732675543809268</v>
      </c>
      <c r="M262" s="322">
        <f t="shared" si="116"/>
        <v>6.4832675543809266</v>
      </c>
      <c r="N262" s="327">
        <f t="shared" si="117"/>
        <v>-4.3588919893204903E-2</v>
      </c>
      <c r="O262" s="327">
        <f t="shared" si="139"/>
        <v>5.759425697315694E-2</v>
      </c>
      <c r="P262" s="331">
        <f t="shared" si="140"/>
        <v>157.55471753806623</v>
      </c>
      <c r="Q262" s="327">
        <f t="shared" si="118"/>
        <v>184.55438589277128</v>
      </c>
      <c r="R262" s="276">
        <f>IF(H262&gt;0, rate1(1,$L$52,$L$51,$L$54,L262,$L$53,$L$50,P262),"")</f>
        <v>2223.1262218838515</v>
      </c>
      <c r="S262" s="322">
        <f t="shared" si="119"/>
        <v>1.4413885557226436</v>
      </c>
      <c r="T262" s="322">
        <f t="shared" si="120"/>
        <v>9.8754078074908186E-2</v>
      </c>
      <c r="U262" s="327">
        <f t="shared" si="121"/>
        <v>6.4932675543809264</v>
      </c>
      <c r="V262" s="335">
        <f t="shared" si="122"/>
        <v>6.4932675543809264</v>
      </c>
      <c r="W262" s="327">
        <f t="shared" si="123"/>
        <v>1.2418361324399996E-3</v>
      </c>
      <c r="X262" s="327">
        <f t="shared" si="124"/>
        <v>192.64765935497735</v>
      </c>
      <c r="Y262" s="327">
        <f t="shared" si="141"/>
        <v>158.04112728420901</v>
      </c>
      <c r="Z262" s="107">
        <f>IF(H262&gt;0, rate1(1,$L$52,$L$51,$L$54,U262,$L$53,$L$50,Y262),"")</f>
        <v>2224.1887224712004</v>
      </c>
      <c r="AA262" s="335">
        <f t="shared" si="125"/>
        <v>1.5038790957805317</v>
      </c>
      <c r="AB262" s="335">
        <f t="shared" si="126"/>
        <v>-2.4645517999041791E-3</v>
      </c>
      <c r="AC262" s="327">
        <f t="shared" si="127"/>
        <v>9.8754078074908186E-2</v>
      </c>
      <c r="AD262" s="327">
        <f t="shared" si="128"/>
        <v>-0.20252328197352365</v>
      </c>
      <c r="AE262" s="327">
        <f t="shared" si="129"/>
        <v>-2.2585725346042783E-3</v>
      </c>
      <c r="AF262" s="327">
        <f t="shared" si="130"/>
        <v>1478.3173667840726</v>
      </c>
      <c r="AG262" s="327">
        <f t="shared" si="131"/>
        <v>1471.0785161205924</v>
      </c>
      <c r="AH262" s="327">
        <f t="shared" si="132"/>
        <v>6.4738057165668215</v>
      </c>
      <c r="AI262" s="327">
        <f t="shared" si="133"/>
        <v>44.421264570045473</v>
      </c>
      <c r="AJ262" s="327">
        <f t="shared" si="134"/>
        <v>3.2572209652025341</v>
      </c>
      <c r="AK262" s="336">
        <f t="shared" si="135"/>
        <v>29.362920923099686</v>
      </c>
      <c r="AL262" s="42">
        <f t="shared" si="136"/>
        <v>21.587549140373966</v>
      </c>
    </row>
    <row r="263" spans="1:38" x14ac:dyDescent="0.25">
      <c r="A263" s="115"/>
      <c r="B263" s="327">
        <f t="shared" si="107"/>
        <v>1478.3173667840726</v>
      </c>
      <c r="C263" s="327">
        <f t="shared" si="108"/>
        <v>1471.0785161205924</v>
      </c>
      <c r="D263" s="327">
        <f t="shared" si="109"/>
        <v>6.4738057165668215</v>
      </c>
      <c r="E263" s="327">
        <f t="shared" si="137"/>
        <v>72.058589367540847</v>
      </c>
      <c r="F263" s="327">
        <f t="shared" si="110"/>
        <v>72.011831129962545</v>
      </c>
      <c r="G263" s="327">
        <f t="shared" si="111"/>
        <v>2006.6025280577044</v>
      </c>
      <c r="H263" s="312">
        <f t="shared" si="112"/>
        <v>0.02</v>
      </c>
      <c r="I263" s="327">
        <f t="shared" si="113"/>
        <v>4.343310398088124</v>
      </c>
      <c r="J263" s="327">
        <f t="shared" si="138"/>
        <v>1848</v>
      </c>
      <c r="K263" s="334">
        <f t="shared" si="114"/>
        <v>-1</v>
      </c>
      <c r="L263" s="322">
        <f t="shared" si="115"/>
        <v>6.4538057165668219</v>
      </c>
      <c r="M263" s="322">
        <f t="shared" si="116"/>
        <v>6.4638057165668217</v>
      </c>
      <c r="N263" s="327">
        <f t="shared" si="117"/>
        <v>-4.3461881100109068E-2</v>
      </c>
      <c r="O263" s="327">
        <f t="shared" si="139"/>
        <v>5.2778123982153827E-2</v>
      </c>
      <c r="P263" s="331">
        <f t="shared" si="140"/>
        <v>156.92362528387045</v>
      </c>
      <c r="Q263" s="327">
        <f t="shared" si="118"/>
        <v>168.92249849695759</v>
      </c>
      <c r="R263" s="276">
        <f>IF(H263&gt;0, rate1(1,$L$52,$L$51,$L$54,L263,$L$53,$L$50,P263),"")</f>
        <v>2221.7393925237648</v>
      </c>
      <c r="S263" s="322">
        <f t="shared" si="119"/>
        <v>1.4405901202630851</v>
      </c>
      <c r="T263" s="322">
        <f t="shared" si="120"/>
        <v>9.8644701960536735E-2</v>
      </c>
      <c r="U263" s="327">
        <f t="shared" si="121"/>
        <v>6.4738057165668215</v>
      </c>
      <c r="V263" s="335">
        <f t="shared" si="122"/>
        <v>6.4738057165668215</v>
      </c>
      <c r="W263" s="327">
        <f t="shared" si="123"/>
        <v>1.2344031431155145E-3</v>
      </c>
      <c r="X263" s="327">
        <f t="shared" si="124"/>
        <v>176.98313811679941</v>
      </c>
      <c r="Y263" s="327">
        <f t="shared" si="141"/>
        <v>157.40954648439319</v>
      </c>
      <c r="Z263" s="107">
        <f>IF(H263&gt;0, rate1(1,$L$52,$L$51,$L$54,U263,$L$53,$L$50,Y263),"")</f>
        <v>2222.8080393652995</v>
      </c>
      <c r="AA263" s="335">
        <f t="shared" si="125"/>
        <v>1.5086065310327781</v>
      </c>
      <c r="AB263" s="335">
        <f t="shared" si="126"/>
        <v>-2.4270296738206081E-3</v>
      </c>
      <c r="AC263" s="327">
        <f t="shared" si="127"/>
        <v>9.8644701960536735E-2</v>
      </c>
      <c r="AD263" s="327">
        <f t="shared" si="128"/>
        <v>-0.20274783746623404</v>
      </c>
      <c r="AE263" s="327">
        <f t="shared" si="129"/>
        <v>-2.2751456991787536E-3</v>
      </c>
      <c r="AF263" s="327">
        <f t="shared" si="130"/>
        <v>1478.175260201012</v>
      </c>
      <c r="AG263" s="327">
        <f t="shared" si="131"/>
        <v>1470.979871418632</v>
      </c>
      <c r="AH263" s="327">
        <f t="shared" si="132"/>
        <v>6.4543421728839192</v>
      </c>
      <c r="AI263" s="327">
        <f t="shared" si="133"/>
        <v>44.399762768072534</v>
      </c>
      <c r="AJ263" s="327">
        <f t="shared" si="134"/>
        <v>3.26955423263811</v>
      </c>
      <c r="AK263" s="336">
        <f t="shared" si="135"/>
        <v>29.452748773321169</v>
      </c>
      <c r="AL263" s="42">
        <f t="shared" si="136"/>
        <v>21.669639637299412</v>
      </c>
    </row>
    <row r="264" spans="1:38" x14ac:dyDescent="0.25">
      <c r="A264" s="115"/>
      <c r="B264" s="327">
        <f t="shared" si="107"/>
        <v>1478.175260201012</v>
      </c>
      <c r="C264" s="327">
        <f t="shared" si="108"/>
        <v>1470.979871418632</v>
      </c>
      <c r="D264" s="327">
        <f t="shared" si="109"/>
        <v>6.4543421728839192</v>
      </c>
      <c r="E264" s="327">
        <f t="shared" si="137"/>
        <v>72.152125167885785</v>
      </c>
      <c r="F264" s="327">
        <f t="shared" si="110"/>
        <v>72.105357267713316</v>
      </c>
      <c r="G264" s="327">
        <f t="shared" si="111"/>
        <v>1991.0850496482151</v>
      </c>
      <c r="H264" s="312">
        <f t="shared" si="112"/>
        <v>0.02</v>
      </c>
      <c r="I264" s="327">
        <f t="shared" si="113"/>
        <v>4.3172332694279705</v>
      </c>
      <c r="J264" s="327">
        <f t="shared" si="138"/>
        <v>1848</v>
      </c>
      <c r="K264" s="334">
        <f t="shared" si="114"/>
        <v>-1</v>
      </c>
      <c r="L264" s="322">
        <f t="shared" si="115"/>
        <v>6.4343421728839196</v>
      </c>
      <c r="M264" s="322">
        <f t="shared" si="116"/>
        <v>6.4443421728839194</v>
      </c>
      <c r="N264" s="327">
        <f t="shared" si="117"/>
        <v>-4.3334808857037999E-2</v>
      </c>
      <c r="O264" s="327">
        <f t="shared" si="139"/>
        <v>4.7969960921934833E-2</v>
      </c>
      <c r="P264" s="331">
        <f t="shared" si="140"/>
        <v>156.29311262166701</v>
      </c>
      <c r="Q264" s="327">
        <f t="shared" si="118"/>
        <v>153.35197734572216</v>
      </c>
      <c r="R264" s="276">
        <f>IF(H264&gt;0, rate1(1,$L$52,$L$51,$L$54,L264,$L$53,$L$50,P264),"")</f>
        <v>2220.3444003096074</v>
      </c>
      <c r="S264" s="322">
        <f t="shared" si="119"/>
        <v>1.4397917208149869</v>
      </c>
      <c r="T264" s="322">
        <f t="shared" si="120"/>
        <v>9.8534844577640973E-2</v>
      </c>
      <c r="U264" s="327">
        <f t="shared" si="121"/>
        <v>6.4543421728839192</v>
      </c>
      <c r="V264" s="335">
        <f t="shared" si="122"/>
        <v>6.4543421728839192</v>
      </c>
      <c r="W264" s="327">
        <f t="shared" si="123"/>
        <v>1.2269918170471072E-3</v>
      </c>
      <c r="X264" s="327">
        <f t="shared" si="124"/>
        <v>161.3799344959873</v>
      </c>
      <c r="Y264" s="327">
        <f t="shared" si="141"/>
        <v>156.77854425222807</v>
      </c>
      <c r="Z264" s="107">
        <f>IF(H264&gt;0, rate1(1,$L$52,$L$51,$L$54,U264,$L$53,$L$50,Y264),"")</f>
        <v>2221.4192436303288</v>
      </c>
      <c r="AA264" s="335">
        <f t="shared" si="125"/>
        <v>1.514431521318766</v>
      </c>
      <c r="AB264" s="335">
        <f t="shared" si="126"/>
        <v>-2.3851412018875981E-3</v>
      </c>
      <c r="AC264" s="327">
        <f t="shared" si="127"/>
        <v>9.8534844577640973E-2</v>
      </c>
      <c r="AD264" s="327">
        <f t="shared" si="128"/>
        <v>-0.20297388285055762</v>
      </c>
      <c r="AE264" s="327">
        <f t="shared" si="129"/>
        <v>-2.2927873432330298E-3</v>
      </c>
      <c r="AF264" s="327">
        <f t="shared" si="130"/>
        <v>1478.0333905475773</v>
      </c>
      <c r="AG264" s="327">
        <f t="shared" si="131"/>
        <v>1470.8813365740543</v>
      </c>
      <c r="AH264" s="327">
        <f t="shared" si="132"/>
        <v>6.4348769229010454</v>
      </c>
      <c r="AI264" s="327">
        <f t="shared" si="133"/>
        <v>44.378180503844881</v>
      </c>
      <c r="AJ264" s="327">
        <f t="shared" si="134"/>
        <v>3.281881505000289</v>
      </c>
      <c r="AK264" s="336">
        <f t="shared" si="135"/>
        <v>29.541841449536744</v>
      </c>
      <c r="AL264" s="42">
        <f t="shared" si="136"/>
        <v>21.751690398894809</v>
      </c>
    </row>
    <row r="265" spans="1:38" x14ac:dyDescent="0.25">
      <c r="A265" s="115"/>
      <c r="B265" s="327">
        <f t="shared" si="107"/>
        <v>1478.0333905475773</v>
      </c>
      <c r="C265" s="327">
        <f t="shared" si="108"/>
        <v>1470.8813365740543</v>
      </c>
      <c r="D265" s="327">
        <f t="shared" si="109"/>
        <v>6.4348769229010454</v>
      </c>
      <c r="E265" s="327">
        <f t="shared" si="137"/>
        <v>72.245680476368079</v>
      </c>
      <c r="F265" s="327">
        <f t="shared" si="110"/>
        <v>72.198902822126939</v>
      </c>
      <c r="G265" s="327">
        <f t="shared" si="111"/>
        <v>1975.6289674560762</v>
      </c>
      <c r="H265" s="312">
        <f t="shared" si="112"/>
        <v>0.02</v>
      </c>
      <c r="I265" s="327">
        <f t="shared" si="113"/>
        <v>4.291232384113755</v>
      </c>
      <c r="J265" s="327">
        <f t="shared" si="138"/>
        <v>1848</v>
      </c>
      <c r="K265" s="334">
        <f t="shared" si="114"/>
        <v>-1</v>
      </c>
      <c r="L265" s="322">
        <f t="shared" si="115"/>
        <v>6.4148769229010458</v>
      </c>
      <c r="M265" s="322">
        <f t="shared" si="116"/>
        <v>6.4248769229010456</v>
      </c>
      <c r="N265" s="327">
        <f t="shared" si="117"/>
        <v>-4.3207703155308863E-2</v>
      </c>
      <c r="O265" s="327">
        <f t="shared" si="139"/>
        <v>4.3169783652666147E-2</v>
      </c>
      <c r="P265" s="331">
        <f t="shared" si="140"/>
        <v>155.66318098215086</v>
      </c>
      <c r="Q265" s="327">
        <f t="shared" si="118"/>
        <v>137.8429311085838</v>
      </c>
      <c r="R265" s="276">
        <f>IF(H265&gt;0, rate1(1,$L$52,$L$51,$L$54,L265,$L$53,$L$50,P265),"")</f>
        <v>2218.9411779407237</v>
      </c>
      <c r="S265" s="322">
        <f t="shared" si="119"/>
        <v>1.4389935178814328</v>
      </c>
      <c r="T265" s="322">
        <f t="shared" si="120"/>
        <v>9.8424467322040909E-2</v>
      </c>
      <c r="U265" s="327">
        <f t="shared" si="121"/>
        <v>6.4348769229010454</v>
      </c>
      <c r="V265" s="335">
        <f t="shared" si="122"/>
        <v>6.4348769229010454</v>
      </c>
      <c r="W265" s="327">
        <f t="shared" si="123"/>
        <v>1.2196021599386597E-3</v>
      </c>
      <c r="X265" s="327">
        <f t="shared" si="124"/>
        <v>145.83815957752745</v>
      </c>
      <c r="Y265" s="327">
        <f t="shared" si="141"/>
        <v>156.14812201319126</v>
      </c>
      <c r="Z265" s="107">
        <f>IF(H265&gt;0, rate1(1,$L$52,$L$51,$L$54,U265,$L$53,$L$50,Y265),"")</f>
        <v>2220.0222684896239</v>
      </c>
      <c r="AA265" s="335">
        <f t="shared" si="125"/>
        <v>1.5217172792517655</v>
      </c>
      <c r="AB265" s="335">
        <f t="shared" si="126"/>
        <v>-2.3376687114672226E-3</v>
      </c>
      <c r="AC265" s="327">
        <f t="shared" si="127"/>
        <v>9.8424467322040909E-2</v>
      </c>
      <c r="AD265" s="327">
        <f t="shared" si="128"/>
        <v>-0.20320150613120214</v>
      </c>
      <c r="AE265" s="327">
        <f t="shared" si="129"/>
        <v>-2.3113736380278795E-3</v>
      </c>
      <c r="AF265" s="327">
        <f t="shared" si="130"/>
        <v>1477.8917583770999</v>
      </c>
      <c r="AG265" s="327">
        <f t="shared" si="131"/>
        <v>1470.7829121067323</v>
      </c>
      <c r="AH265" s="327">
        <f t="shared" si="132"/>
        <v>6.4154099661841251</v>
      </c>
      <c r="AI265" s="327">
        <f t="shared" si="133"/>
        <v>44.356501335192313</v>
      </c>
      <c r="AJ265" s="327">
        <f t="shared" si="134"/>
        <v>3.2942027553711757</v>
      </c>
      <c r="AK265" s="336">
        <f t="shared" si="135"/>
        <v>29.63020218126854</v>
      </c>
      <c r="AL265" s="42">
        <f t="shared" si="136"/>
        <v>21.833701276465913</v>
      </c>
    </row>
    <row r="266" spans="1:38" x14ac:dyDescent="0.25">
      <c r="A266" s="115"/>
      <c r="B266" s="327">
        <f t="shared" si="107"/>
        <v>1477.8917583770999</v>
      </c>
      <c r="C266" s="327">
        <f t="shared" si="108"/>
        <v>1470.7829121067323</v>
      </c>
      <c r="D266" s="327">
        <f t="shared" si="109"/>
        <v>6.4154099661841251</v>
      </c>
      <c r="E266" s="327">
        <f t="shared" si="137"/>
        <v>72.339255381866451</v>
      </c>
      <c r="F266" s="327">
        <f t="shared" si="110"/>
        <v>72.292467929117265</v>
      </c>
      <c r="G266" s="327">
        <f t="shared" si="111"/>
        <v>1960.2343867095183</v>
      </c>
      <c r="H266" s="312">
        <f t="shared" si="112"/>
        <v>0.02</v>
      </c>
      <c r="I266" s="327">
        <f t="shared" si="113"/>
        <v>4.2653077622205728</v>
      </c>
      <c r="J266" s="327">
        <f t="shared" si="138"/>
        <v>1848</v>
      </c>
      <c r="K266" s="334">
        <f t="shared" si="114"/>
        <v>-1</v>
      </c>
      <c r="L266" s="322">
        <f t="shared" si="115"/>
        <v>6.3954099661841255</v>
      </c>
      <c r="M266" s="322">
        <f t="shared" si="116"/>
        <v>6.4054099661841253</v>
      </c>
      <c r="N266" s="327">
        <f t="shared" si="117"/>
        <v>-4.3080563986210407E-2</v>
      </c>
      <c r="O266" s="327">
        <f t="shared" si="139"/>
        <v>3.8377609560876214E-2</v>
      </c>
      <c r="P266" s="331">
        <f t="shared" si="140"/>
        <v>155.03383180311843</v>
      </c>
      <c r="Q266" s="327">
        <f t="shared" si="118"/>
        <v>122.39546415088535</v>
      </c>
      <c r="R266" s="276">
        <f>IF(H266&gt;0, rate1(1,$L$52,$L$51,$L$54,L266,$L$53,$L$50,P266),"")</f>
        <v>2217.5296574097638</v>
      </c>
      <c r="S266" s="322">
        <f t="shared" si="119"/>
        <v>1.4381956358835803</v>
      </c>
      <c r="T266" s="322">
        <f t="shared" si="120"/>
        <v>9.831353956627728E-2</v>
      </c>
      <c r="U266" s="327">
        <f t="shared" si="121"/>
        <v>6.4154099661841251</v>
      </c>
      <c r="V266" s="335">
        <f t="shared" si="122"/>
        <v>6.4154099661841251</v>
      </c>
      <c r="W266" s="327">
        <f t="shared" si="123"/>
        <v>1.2122341774976064E-3</v>
      </c>
      <c r="X266" s="327">
        <f t="shared" si="124"/>
        <v>130.35791988656501</v>
      </c>
      <c r="Y266" s="327">
        <f t="shared" si="141"/>
        <v>155.51828119981911</v>
      </c>
      <c r="Z266" s="107">
        <f>IF(H266&gt;0, rate1(1,$L$52,$L$51,$L$54,U266,$L$53,$L$50,Y266),"")</f>
        <v>2218.6170464664096</v>
      </c>
      <c r="AA266" s="335">
        <f t="shared" si="125"/>
        <v>1.5310069286682095</v>
      </c>
      <c r="AB266" s="335">
        <f t="shared" si="126"/>
        <v>-2.2828970999266376E-3</v>
      </c>
      <c r="AC266" s="327">
        <f t="shared" si="127"/>
        <v>9.831353956627728E-2</v>
      </c>
      <c r="AD266" s="327">
        <f t="shared" si="128"/>
        <v>-0.20343077960810435</v>
      </c>
      <c r="AE266" s="327">
        <f t="shared" si="129"/>
        <v>-2.3307492083353815E-3</v>
      </c>
      <c r="AF266" s="327">
        <f t="shared" si="130"/>
        <v>1477.7503642735473</v>
      </c>
      <c r="AG266" s="327">
        <f t="shared" si="131"/>
        <v>1470.6845985671659</v>
      </c>
      <c r="AH266" s="327">
        <f t="shared" si="132"/>
        <v>6.3959413022964453</v>
      </c>
      <c r="AI266" s="327">
        <f t="shared" si="133"/>
        <v>44.334712384913331</v>
      </c>
      <c r="AJ266" s="327">
        <f t="shared" si="134"/>
        <v>3.3065179532558737</v>
      </c>
      <c r="AK266" s="336">
        <f t="shared" si="135"/>
        <v>29.71783417020135</v>
      </c>
      <c r="AL266" s="42">
        <f t="shared" si="136"/>
        <v>21.915672090933349</v>
      </c>
    </row>
    <row r="267" spans="1:38" x14ac:dyDescent="0.25">
      <c r="A267" s="115"/>
      <c r="B267" s="327">
        <f t="shared" si="107"/>
        <v>1477.7503642735473</v>
      </c>
      <c r="C267" s="327">
        <f t="shared" si="108"/>
        <v>1470.6845985671659</v>
      </c>
      <c r="D267" s="327">
        <f t="shared" si="109"/>
        <v>6.3959413022964453</v>
      </c>
      <c r="E267" s="327">
        <f t="shared" si="137"/>
        <v>72.432849895810705</v>
      </c>
      <c r="F267" s="327">
        <f t="shared" si="110"/>
        <v>72.386052638838578</v>
      </c>
      <c r="G267" s="327">
        <f t="shared" si="111"/>
        <v>1944.9014086373923</v>
      </c>
      <c r="H267" s="312">
        <f t="shared" si="112"/>
        <v>0.02</v>
      </c>
      <c r="I267" s="327">
        <f t="shared" si="113"/>
        <v>4.2394594238288388</v>
      </c>
      <c r="J267" s="327">
        <f t="shared" si="138"/>
        <v>1848</v>
      </c>
      <c r="K267" s="334">
        <f t="shared" si="114"/>
        <v>-1</v>
      </c>
      <c r="L267" s="322">
        <f t="shared" si="115"/>
        <v>6.3759413022964457</v>
      </c>
      <c r="M267" s="322">
        <f t="shared" si="116"/>
        <v>6.3859413022964455</v>
      </c>
      <c r="N267" s="327">
        <f t="shared" si="117"/>
        <v>-4.2953391341033154E-2</v>
      </c>
      <c r="O267" s="327">
        <f t="shared" si="139"/>
        <v>3.359345733738496E-2</v>
      </c>
      <c r="P267" s="331">
        <f t="shared" si="140"/>
        <v>154.40506652953542</v>
      </c>
      <c r="Q267" s="327">
        <f t="shared" si="118"/>
        <v>107.00967709993461</v>
      </c>
      <c r="R267" s="276">
        <f>IF(H267&gt;0, rate1(1,$L$52,$L$51,$L$54,L267,$L$53,$L$50,P267),"")</f>
        <v>2216.1097699937727</v>
      </c>
      <c r="S267" s="322">
        <f t="shared" si="119"/>
        <v>1.4373981540143019</v>
      </c>
      <c r="T267" s="322">
        <f t="shared" si="120"/>
        <v>9.8202040742103078E-2</v>
      </c>
      <c r="U267" s="327">
        <f t="shared" si="121"/>
        <v>6.3959413022964453</v>
      </c>
      <c r="V267" s="335">
        <f t="shared" si="122"/>
        <v>6.3959413022964453</v>
      </c>
      <c r="W267" s="327">
        <f t="shared" si="123"/>
        <v>1.2048878754296055E-3</v>
      </c>
      <c r="X267" s="327">
        <f t="shared" si="124"/>
        <v>114.93931792796161</v>
      </c>
      <c r="Y267" s="327">
        <f t="shared" si="141"/>
        <v>154.88902325177386</v>
      </c>
      <c r="Z267" s="107">
        <f>IF(H267&gt;0, rate1(1,$L$52,$L$51,$L$54,U267,$L$53,$L$50,Y267),"")</f>
        <v>2217.2035093749892</v>
      </c>
      <c r="AA267" s="335">
        <f t="shared" si="125"/>
        <v>1.5431507557775659</v>
      </c>
      <c r="AB267" s="335">
        <f t="shared" si="126"/>
        <v>-2.2183304775203845E-3</v>
      </c>
      <c r="AC267" s="327">
        <f t="shared" si="127"/>
        <v>9.8202040742103078E-2</v>
      </c>
      <c r="AD267" s="327">
        <f t="shared" si="128"/>
        <v>-0.20366175538575354</v>
      </c>
      <c r="AE267" s="327">
        <f t="shared" si="129"/>
        <v>-2.3507121143955378E-3</v>
      </c>
      <c r="AF267" s="327">
        <f t="shared" si="130"/>
        <v>1477.6092088414641</v>
      </c>
      <c r="AG267" s="327">
        <f t="shared" si="131"/>
        <v>1470.5863965264239</v>
      </c>
      <c r="AH267" s="327">
        <f t="shared" si="132"/>
        <v>6.3764709307985115</v>
      </c>
      <c r="AI267" s="327">
        <f t="shared" si="133"/>
        <v>44.312805291399904</v>
      </c>
      <c r="AJ267" s="327">
        <f t="shared" si="134"/>
        <v>3.318827065836818</v>
      </c>
      <c r="AK267" s="336">
        <f t="shared" si="135"/>
        <v>29.804740597943134</v>
      </c>
      <c r="AL267" s="42">
        <f t="shared" si="136"/>
        <v>21.99760263942067</v>
      </c>
    </row>
    <row r="268" spans="1:38" x14ac:dyDescent="0.25">
      <c r="A268" s="115"/>
      <c r="B268" s="327">
        <f t="shared" si="107"/>
        <v>1477.6092088414641</v>
      </c>
      <c r="C268" s="327">
        <f t="shared" si="108"/>
        <v>1470.5863965264239</v>
      </c>
      <c r="D268" s="327">
        <f t="shared" si="109"/>
        <v>6.3764709307985115</v>
      </c>
      <c r="E268" s="327">
        <f t="shared" si="137"/>
        <v>72.526463973007523</v>
      </c>
      <c r="F268" s="327">
        <f t="shared" si="110"/>
        <v>72.479656934409121</v>
      </c>
      <c r="G268" s="327">
        <f t="shared" si="111"/>
        <v>1929.6301310728663</v>
      </c>
      <c r="H268" s="312">
        <f t="shared" si="112"/>
        <v>0.02</v>
      </c>
      <c r="I268" s="327">
        <f t="shared" si="113"/>
        <v>4.2136873890241526</v>
      </c>
      <c r="J268" s="327">
        <f t="shared" si="138"/>
        <v>1848</v>
      </c>
      <c r="K268" s="334">
        <f t="shared" si="114"/>
        <v>-1</v>
      </c>
      <c r="L268" s="322">
        <f t="shared" si="115"/>
        <v>6.3564709307985119</v>
      </c>
      <c r="M268" s="322">
        <f t="shared" si="116"/>
        <v>6.3664709307985117</v>
      </c>
      <c r="N268" s="327">
        <f t="shared" si="117"/>
        <v>-4.2826185211014334E-2</v>
      </c>
      <c r="O268" s="327">
        <f t="shared" si="139"/>
        <v>2.8817346707860361E-2</v>
      </c>
      <c r="P268" s="331">
        <f t="shared" si="140"/>
        <v>153.77688661359136</v>
      </c>
      <c r="Q268" s="327">
        <f t="shared" si="118"/>
        <v>91.685667496565884</v>
      </c>
      <c r="R268" s="276">
        <f>IF(H268&gt;0, rate1(1,$L$52,$L$51,$L$54,L268,$L$53,$L$50,P268),"")</f>
        <v>2214.6814462451216</v>
      </c>
      <c r="S268" s="322">
        <f t="shared" si="119"/>
        <v>1.4366010918342478</v>
      </c>
      <c r="T268" s="322">
        <f t="shared" si="120"/>
        <v>9.8089963612076725E-2</v>
      </c>
      <c r="U268" s="327">
        <f t="shared" si="121"/>
        <v>6.3764709307985115</v>
      </c>
      <c r="V268" s="335">
        <f t="shared" si="122"/>
        <v>6.3764709307985115</v>
      </c>
      <c r="W268" s="327">
        <f t="shared" si="123"/>
        <v>1.1975632594420915E-3</v>
      </c>
      <c r="X268" s="327">
        <f t="shared" si="124"/>
        <v>99.582452795250219</v>
      </c>
      <c r="Y268" s="327">
        <f t="shared" si="141"/>
        <v>154.26034961589767</v>
      </c>
      <c r="Z268" s="107">
        <f>IF(H268&gt;0, rate1(1,$L$52,$L$51,$L$54,U268,$L$53,$L$50,Y268),"")</f>
        <v>2215.7815883117701</v>
      </c>
      <c r="AA268" s="335">
        <f t="shared" si="125"/>
        <v>1.5595592471316417</v>
      </c>
      <c r="AB268" s="335">
        <f t="shared" si="126"/>
        <v>-2.1401902757946078E-3</v>
      </c>
      <c r="AC268" s="327">
        <f t="shared" si="127"/>
        <v>9.8089963612076725E-2</v>
      </c>
      <c r="AD268" s="327">
        <f t="shared" si="128"/>
        <v>-0.20389445834739431</v>
      </c>
      <c r="AE268" s="327">
        <f t="shared" si="129"/>
        <v>-2.3709876763078983E-3</v>
      </c>
      <c r="AF268" s="327">
        <f t="shared" si="130"/>
        <v>1477.4682926926409</v>
      </c>
      <c r="AG268" s="327">
        <f t="shared" si="131"/>
        <v>1470.4883065628119</v>
      </c>
      <c r="AH268" s="327">
        <f t="shared" si="132"/>
        <v>6.3569988512481084</v>
      </c>
      <c r="AI268" s="327">
        <f t="shared" si="133"/>
        <v>44.29077770005398</v>
      </c>
      <c r="AJ268" s="327">
        <f t="shared" si="134"/>
        <v>3.3311300596423887</v>
      </c>
      <c r="AK268" s="336">
        <f t="shared" si="135"/>
        <v>29.89092463537505</v>
      </c>
      <c r="AL268" s="42">
        <f t="shared" si="136"/>
        <v>22.079492703599175</v>
      </c>
    </row>
    <row r="269" spans="1:38" x14ac:dyDescent="0.25">
      <c r="A269" s="115"/>
      <c r="B269" s="327">
        <f t="shared" si="107"/>
        <v>1477.4682926926409</v>
      </c>
      <c r="C269" s="327">
        <f t="shared" si="108"/>
        <v>1470.4883065628119</v>
      </c>
      <c r="D269" s="327">
        <f t="shared" si="109"/>
        <v>6.3569988512481084</v>
      </c>
      <c r="E269" s="327">
        <f t="shared" si="137"/>
        <v>72.620097539094274</v>
      </c>
      <c r="F269" s="327">
        <f t="shared" si="110"/>
        <v>72.573280756050906</v>
      </c>
      <c r="G269" s="327">
        <f t="shared" si="111"/>
        <v>1914.420649170818</v>
      </c>
      <c r="H269" s="312">
        <f t="shared" si="112"/>
        <v>0.02</v>
      </c>
      <c r="I269" s="327">
        <f t="shared" si="113"/>
        <v>4.1879916778974344</v>
      </c>
      <c r="J269" s="327">
        <f t="shared" si="138"/>
        <v>1848</v>
      </c>
      <c r="K269" s="334">
        <f t="shared" si="114"/>
        <v>-1</v>
      </c>
      <c r="L269" s="322">
        <f t="shared" si="115"/>
        <v>6.3369988512481088</v>
      </c>
      <c r="M269" s="322">
        <f t="shared" si="116"/>
        <v>6.3469988512481086</v>
      </c>
      <c r="N269" s="327">
        <f t="shared" si="117"/>
        <v>-4.2698945587394732E-2</v>
      </c>
      <c r="O269" s="327">
        <f t="shared" si="139"/>
        <v>2.4049298093037956E-2</v>
      </c>
      <c r="P269" s="331">
        <f t="shared" si="140"/>
        <v>153.14929351476195</v>
      </c>
      <c r="Q269" s="327">
        <f t="shared" si="118"/>
        <v>76.423530590220025</v>
      </c>
      <c r="R269" s="276">
        <f>IF(H269&gt;0, rate1(1,$L$52,$L$51,$L$54,L269,$L$53,$L$50,P269),"")</f>
        <v>2213.2446159823212</v>
      </c>
      <c r="S269" s="322">
        <f t="shared" si="119"/>
        <v>1.4358043848385891</v>
      </c>
      <c r="T269" s="322">
        <f t="shared" si="120"/>
        <v>9.797731980877003E-2</v>
      </c>
      <c r="U269" s="327">
        <f t="shared" si="121"/>
        <v>6.3569988512481084</v>
      </c>
      <c r="V269" s="335">
        <f t="shared" si="122"/>
        <v>6.3569988512481084</v>
      </c>
      <c r="W269" s="327">
        <f t="shared" si="123"/>
        <v>1.1902603352567098E-3</v>
      </c>
      <c r="X269" s="327">
        <f t="shared" si="124"/>
        <v>84.287420894505885</v>
      </c>
      <c r="Y269" s="327">
        <f t="shared" si="141"/>
        <v>153.63226174627482</v>
      </c>
      <c r="Z269" s="107">
        <f>IF(H269&gt;0, rate1(1,$L$52,$L$51,$L$54,U269,$L$53,$L$50,Y269),"")</f>
        <v>2214.3512136461763</v>
      </c>
      <c r="AA269" s="335">
        <f t="shared" si="125"/>
        <v>1.5827555863328617</v>
      </c>
      <c r="AB269" s="335">
        <f t="shared" si="126"/>
        <v>-2.0424691983593445E-3</v>
      </c>
      <c r="AC269" s="327">
        <f t="shared" si="127"/>
        <v>9.797731980877003E-2</v>
      </c>
      <c r="AD269" s="327">
        <f t="shared" si="128"/>
        <v>-0.204128874305151</v>
      </c>
      <c r="AE269" s="327">
        <f t="shared" si="129"/>
        <v>-2.3911787185171042E-3</v>
      </c>
      <c r="AF269" s="327">
        <f t="shared" si="130"/>
        <v>1477.3276164272447</v>
      </c>
      <c r="AG269" s="327">
        <f t="shared" si="131"/>
        <v>1470.3903292430032</v>
      </c>
      <c r="AH269" s="327">
        <f t="shared" si="132"/>
        <v>6.3375250632002524</v>
      </c>
      <c r="AI269" s="327">
        <f t="shared" si="133"/>
        <v>44.268635785332748</v>
      </c>
      <c r="AJ269" s="327">
        <f t="shared" si="134"/>
        <v>3.3434269029160921</v>
      </c>
      <c r="AK269" s="336">
        <f t="shared" si="135"/>
        <v>29.976389454553725</v>
      </c>
      <c r="AL269" s="42">
        <f t="shared" si="136"/>
        <v>22.161342060788876</v>
      </c>
    </row>
    <row r="270" spans="1:38" x14ac:dyDescent="0.25">
      <c r="A270" s="115"/>
      <c r="B270" s="327">
        <f t="shared" si="107"/>
        <v>1477.3276164272447</v>
      </c>
      <c r="C270" s="327">
        <f t="shared" si="108"/>
        <v>1470.3903292430032</v>
      </c>
      <c r="D270" s="327">
        <f t="shared" si="109"/>
        <v>6.3375250632002524</v>
      </c>
      <c r="E270" s="327">
        <f t="shared" si="137"/>
        <v>72.713750529223631</v>
      </c>
      <c r="F270" s="327">
        <f t="shared" si="110"/>
        <v>72.666924034158953</v>
      </c>
      <c r="G270" s="327">
        <f t="shared" si="111"/>
        <v>1899.2730563219507</v>
      </c>
      <c r="H270" s="312">
        <f t="shared" si="112"/>
        <v>0.02</v>
      </c>
      <c r="I270" s="327">
        <f t="shared" si="113"/>
        <v>4.1623723105449244</v>
      </c>
      <c r="J270" s="327">
        <f t="shared" si="138"/>
        <v>1848</v>
      </c>
      <c r="K270" s="334">
        <f t="shared" si="114"/>
        <v>-1</v>
      </c>
      <c r="L270" s="322">
        <f t="shared" si="115"/>
        <v>6.3175250632002529</v>
      </c>
      <c r="M270" s="322">
        <f t="shared" si="116"/>
        <v>6.3275250632002527</v>
      </c>
      <c r="N270" s="327">
        <f t="shared" si="117"/>
        <v>-4.2571672461393817E-2</v>
      </c>
      <c r="O270" s="327">
        <f t="shared" si="139"/>
        <v>1.9289332158419659E-2</v>
      </c>
      <c r="P270" s="331">
        <f t="shared" si="140"/>
        <v>152.52228869986837</v>
      </c>
      <c r="Q270" s="327">
        <f t="shared" si="118"/>
        <v>61.223360387509956</v>
      </c>
      <c r="R270" s="276">
        <f>IF(H270&gt;0, rate1(1,$L$52,$L$51,$L$54,L270,$L$53,$L$50,P270),"")</f>
        <v>2211.7992082806936</v>
      </c>
      <c r="S270" s="322">
        <f t="shared" si="119"/>
        <v>1.4350078383617777</v>
      </c>
      <c r="T270" s="322">
        <f t="shared" si="120"/>
        <v>9.7864150268457351E-2</v>
      </c>
      <c r="U270" s="327">
        <f t="shared" si="121"/>
        <v>6.3375250632002524</v>
      </c>
      <c r="V270" s="335">
        <f t="shared" si="122"/>
        <v>6.3375250632002524</v>
      </c>
      <c r="W270" s="327">
        <f t="shared" si="123"/>
        <v>1.1829791085649077E-3</v>
      </c>
      <c r="X270" s="327">
        <f t="shared" si="124"/>
        <v>69.054316866856652</v>
      </c>
      <c r="Y270" s="327">
        <f t="shared" si="141"/>
        <v>153.00476110428997</v>
      </c>
      <c r="Z270" s="107">
        <f>IF(H270&gt;0, rate1(1,$L$52,$L$51,$L$54,U270,$L$53,$L$50,Y270),"")</f>
        <v>2212.9123150114224</v>
      </c>
      <c r="AA270" s="335">
        <f t="shared" si="125"/>
        <v>1.6177426524172296</v>
      </c>
      <c r="AB270" s="335">
        <f t="shared" si="126"/>
        <v>-1.9150031229605167E-3</v>
      </c>
      <c r="AC270" s="327">
        <f t="shared" si="127"/>
        <v>9.7864150268457351E-2</v>
      </c>
      <c r="AD270" s="327">
        <f t="shared" si="128"/>
        <v>-0.20436492776094958</v>
      </c>
      <c r="AE270" s="327">
        <f t="shared" si="129"/>
        <v>-2.4106585362691055E-3</v>
      </c>
      <c r="AF270" s="327">
        <f t="shared" si="130"/>
        <v>1477.1871806045149</v>
      </c>
      <c r="AG270" s="327">
        <f t="shared" si="131"/>
        <v>1470.2924650927348</v>
      </c>
      <c r="AH270" s="327">
        <f t="shared" si="132"/>
        <v>6.3180495662070495</v>
      </c>
      <c r="AI270" s="327">
        <f t="shared" si="133"/>
        <v>44.246398995924437</v>
      </c>
      <c r="AJ270" s="327">
        <f t="shared" si="134"/>
        <v>3.3557175693038488</v>
      </c>
      <c r="AK270" s="336">
        <f t="shared" si="135"/>
        <v>30.06113824501179</v>
      </c>
      <c r="AL270" s="42">
        <f t="shared" si="136"/>
        <v>22.243150499720169</v>
      </c>
    </row>
    <row r="271" spans="1:38" x14ac:dyDescent="0.25">
      <c r="A271" s="115"/>
      <c r="B271" s="327">
        <f t="shared" si="107"/>
        <v>1477.1871806045149</v>
      </c>
      <c r="C271" s="327">
        <f t="shared" si="108"/>
        <v>1470.2924650927348</v>
      </c>
      <c r="D271" s="327">
        <f t="shared" si="109"/>
        <v>6.3180495662070495</v>
      </c>
      <c r="E271" s="327">
        <f t="shared" si="137"/>
        <v>72.807422947925687</v>
      </c>
      <c r="F271" s="327">
        <f t="shared" si="110"/>
        <v>72.760586738574659</v>
      </c>
      <c r="G271" s="327">
        <f t="shared" si="111"/>
        <v>1884.187445437673</v>
      </c>
      <c r="H271" s="312">
        <f t="shared" si="112"/>
        <v>0.02</v>
      </c>
      <c r="I271" s="327">
        <f t="shared" si="113"/>
        <v>4.1368293070680462</v>
      </c>
      <c r="J271" s="327">
        <f t="shared" si="138"/>
        <v>1848</v>
      </c>
      <c r="K271" s="334">
        <f t="shared" si="114"/>
        <v>-1</v>
      </c>
      <c r="L271" s="322">
        <f t="shared" si="115"/>
        <v>6.2980495662070499</v>
      </c>
      <c r="M271" s="322">
        <f t="shared" si="116"/>
        <v>6.3080495662070497</v>
      </c>
      <c r="N271" s="327">
        <f t="shared" si="117"/>
        <v>-4.2444365824195529E-2</v>
      </c>
      <c r="O271" s="327">
        <f t="shared" si="139"/>
        <v>1.4537469176870477E-2</v>
      </c>
      <c r="P271" s="331">
        <f t="shared" si="140"/>
        <v>151.89587364313425</v>
      </c>
      <c r="Q271" s="327">
        <f t="shared" si="118"/>
        <v>46.085251194888315</v>
      </c>
      <c r="R271" s="276">
        <f>IF(H271&gt;0, rate1(1,$L$52,$L$51,$L$54,L271,$L$53,$L$50,P271),"")</f>
        <v>2210.3451514628941</v>
      </c>
      <c r="S271" s="322">
        <f t="shared" si="119"/>
        <v>1.4342110255843499</v>
      </c>
      <c r="T271" s="322">
        <f t="shared" si="120"/>
        <v>9.7750548289452135E-2</v>
      </c>
      <c r="U271" s="327">
        <f t="shared" si="121"/>
        <v>6.3180495662070495</v>
      </c>
      <c r="V271" s="335">
        <f t="shared" si="122"/>
        <v>6.3180495662070495</v>
      </c>
      <c r="W271" s="327">
        <f t="shared" si="123"/>
        <v>1.1757195850918833E-3</v>
      </c>
      <c r="X271" s="327">
        <f t="shared" si="124"/>
        <v>53.883234885422326</v>
      </c>
      <c r="Y271" s="327">
        <f t="shared" si="141"/>
        <v>152.37784915868505</v>
      </c>
      <c r="Z271" s="107">
        <f>IF(H271&gt;0, rate1(1,$L$52,$L$51,$L$54,U271,$L$53,$L$50,Y271),"")</f>
        <v>2211.464821295137</v>
      </c>
      <c r="AA271" s="335">
        <f t="shared" si="125"/>
        <v>1.6760416956471724</v>
      </c>
      <c r="AB271" s="335">
        <f t="shared" si="126"/>
        <v>-1.7391228864461843E-3</v>
      </c>
      <c r="AC271" s="327">
        <f t="shared" si="127"/>
        <v>9.7750548289452135E-2</v>
      </c>
      <c r="AD271" s="327">
        <f t="shared" si="128"/>
        <v>-0.20460243292730584</v>
      </c>
      <c r="AE271" s="327">
        <f t="shared" si="129"/>
        <v>-2.4282957068888196E-3</v>
      </c>
      <c r="AF271" s="327">
        <f t="shared" si="130"/>
        <v>1477.0469856904012</v>
      </c>
      <c r="AG271" s="327">
        <f t="shared" si="131"/>
        <v>1470.1947145444453</v>
      </c>
      <c r="AH271" s="327">
        <f t="shared" si="132"/>
        <v>6.2985723598177499</v>
      </c>
      <c r="AI271" s="327">
        <f t="shared" si="133"/>
        <v>44.224110530772514</v>
      </c>
      <c r="AJ271" s="327">
        <f t="shared" si="134"/>
        <v>3.3680020444512855</v>
      </c>
      <c r="AK271" s="336">
        <f t="shared" si="135"/>
        <v>30.145174238464019</v>
      </c>
      <c r="AL271" s="42">
        <f t="shared" si="136"/>
        <v>22.324917845064636</v>
      </c>
    </row>
    <row r="272" spans="1:38" x14ac:dyDescent="0.25">
      <c r="A272" s="115"/>
      <c r="B272" s="327">
        <f t="shared" si="107"/>
        <v>1477.0469856904012</v>
      </c>
      <c r="C272" s="327">
        <f t="shared" si="108"/>
        <v>1470.1947145444453</v>
      </c>
      <c r="D272" s="327">
        <f t="shared" si="109"/>
        <v>6.2985723598177499</v>
      </c>
      <c r="E272" s="327">
        <f t="shared" si="137"/>
        <v>72.901114975809392</v>
      </c>
      <c r="F272" s="327">
        <f t="shared" si="110"/>
        <v>72.854268961867547</v>
      </c>
      <c r="G272" s="327">
        <f t="shared" si="111"/>
        <v>1869.1639110366539</v>
      </c>
      <c r="H272" s="312">
        <f t="shared" si="112"/>
        <v>0.02</v>
      </c>
      <c r="I272" s="327">
        <f t="shared" si="113"/>
        <v>4.1113626875735463</v>
      </c>
      <c r="J272" s="327">
        <f t="shared" si="138"/>
        <v>1848</v>
      </c>
      <c r="K272" s="334">
        <f t="shared" si="114"/>
        <v>-1</v>
      </c>
      <c r="L272" s="322">
        <f t="shared" si="115"/>
        <v>6.2785723598177503</v>
      </c>
      <c r="M272" s="322">
        <f t="shared" si="116"/>
        <v>6.2885723598177501</v>
      </c>
      <c r="N272" s="327">
        <f t="shared" si="117"/>
        <v>-4.2317025666973151E-2</v>
      </c>
      <c r="O272" s="327">
        <f t="shared" si="139"/>
        <v>9.7937280387775834E-3</v>
      </c>
      <c r="P272" s="331">
        <f t="shared" si="140"/>
        <v>151.27004982624976</v>
      </c>
      <c r="Q272" s="327">
        <f t="shared" si="118"/>
        <v>31.009300282692493</v>
      </c>
      <c r="R272" s="276">
        <f>IF(H272&gt;0, rate1(1,$L$52,$L$51,$L$54,L272,$L$53,$L$50,P272),"")</f>
        <v>2208.8823730893146</v>
      </c>
      <c r="S272" s="322">
        <f t="shared" si="119"/>
        <v>1.4334129941239009</v>
      </c>
      <c r="T272" s="322">
        <f t="shared" si="120"/>
        <v>9.7636725803555105E-2</v>
      </c>
      <c r="U272" s="327">
        <f t="shared" si="121"/>
        <v>6.2985723598177499</v>
      </c>
      <c r="V272" s="335">
        <f t="shared" si="122"/>
        <v>6.2985723598177499</v>
      </c>
      <c r="W272" s="327">
        <f t="shared" si="123"/>
        <v>1.168481770553953E-3</v>
      </c>
      <c r="X272" s="327">
        <f t="shared" si="124"/>
        <v>38.77427076170693</v>
      </c>
      <c r="Y272" s="327">
        <f t="shared" si="141"/>
        <v>151.75152738562269</v>
      </c>
      <c r="Z272" s="107">
        <f>IF(H272&gt;0, rate1(1,$L$52,$L$51,$L$54,U272,$L$53,$L$50,Y272),"")</f>
        <v>2210.0086606298705</v>
      </c>
      <c r="AA272" s="335">
        <f t="shared" si="125"/>
        <v>1.7914373435553517</v>
      </c>
      <c r="AB272" s="335">
        <f t="shared" si="126"/>
        <v>-1.4764046453820529E-3</v>
      </c>
      <c r="AC272" s="327">
        <f t="shared" si="127"/>
        <v>9.7636725803555105E-2</v>
      </c>
      <c r="AD272" s="327">
        <f t="shared" si="128"/>
        <v>-0.20484095339534389</v>
      </c>
      <c r="AE272" s="327">
        <f t="shared" si="129"/>
        <v>-2.441514874960644E-3</v>
      </c>
      <c r="AF272" s="327">
        <f t="shared" si="130"/>
        <v>1476.9070319389307</v>
      </c>
      <c r="AG272" s="327">
        <f t="shared" si="131"/>
        <v>1470.0970778186418</v>
      </c>
      <c r="AH272" s="327">
        <f t="shared" si="132"/>
        <v>6.2790934435785983</v>
      </c>
      <c r="AI272" s="327">
        <f t="shared" si="133"/>
        <v>44.201867420853937</v>
      </c>
      <c r="AJ272" s="327">
        <f t="shared" si="134"/>
        <v>3.3802803409570781</v>
      </c>
      <c r="AK272" s="336">
        <f t="shared" si="135"/>
        <v>30.228500752311749</v>
      </c>
      <c r="AL272" s="42">
        <f t="shared" si="136"/>
        <v>22.406644001325503</v>
      </c>
    </row>
    <row r="273" spans="1:38" x14ac:dyDescent="0.25">
      <c r="A273" s="115"/>
      <c r="B273" s="327">
        <f t="shared" ref="B273:B278" si="142">IF(H273&gt;0, AF272,"")</f>
        <v>1476.9070319389307</v>
      </c>
      <c r="C273" s="327">
        <f t="shared" ref="C273:C278" si="143">IF(H273&gt;0, AG272,"")</f>
        <v>1470.0970778186418</v>
      </c>
      <c r="D273" s="327">
        <f t="shared" ref="D273:D278" si="144">IF(H273&gt;0, AH272,"")</f>
        <v>6.2790934435785983</v>
      </c>
      <c r="E273" s="327">
        <f t="shared" si="137"/>
        <v>72.994827210943072</v>
      </c>
      <c r="F273" s="327">
        <f t="shared" ref="F273:F278" si="145">IF(H273&gt;0, (E273+E272)/2,"")</f>
        <v>72.947971093376225</v>
      </c>
      <c r="G273" s="327">
        <f t="shared" ref="G273:G278" si="146">IF(H273&gt;0, F273*$S$53*$C$55*(B273-C273+N273)^1.5,"")</f>
        <v>1854.2025535200466</v>
      </c>
      <c r="H273" s="312">
        <f t="shared" ref="H273:H278" si="147">dv(S272)</f>
        <v>0.02</v>
      </c>
      <c r="I273" s="327">
        <f t="shared" ref="I273:I278" si="148">IF(H273&gt;0, (B273-C273)*B$19,"")</f>
        <v>4.0859724721733528</v>
      </c>
      <c r="J273" s="327">
        <f t="shared" si="138"/>
        <v>1848</v>
      </c>
      <c r="K273" s="334">
        <f t="shared" ref="K273:K278" si="149">IF(H273&gt;0, IF((1-S272-0.015)&gt;0,1,-1),"")</f>
        <v>-1</v>
      </c>
      <c r="L273" s="322">
        <f t="shared" ref="L273:L278" si="150">IF(H273&gt;0, D273+K273*H273,"")</f>
        <v>6.2590934435785988</v>
      </c>
      <c r="M273" s="322">
        <f t="shared" ref="M273:M278" si="151">IF(H273&gt;0, (D273+L273)/2,"")</f>
        <v>6.2690934435785985</v>
      </c>
      <c r="N273" s="327">
        <f t="shared" ref="N273:N278" si="152">IF(H273&gt;0, 2*($P$53*M273/$S$52/$S$51)^2-(B273-C273)*2,"")</f>
        <v>-4.2189651980882203E-2</v>
      </c>
      <c r="O273" s="327">
        <f t="shared" si="139"/>
        <v>5.0581244833256683E-3</v>
      </c>
      <c r="P273" s="331">
        <f t="shared" si="140"/>
        <v>150.64481873842971</v>
      </c>
      <c r="Q273" s="327">
        <f t="shared" ref="Q273:Q278" si="153">IF(H273&gt;0, M273/$S$54*(B273-C273+N273/2)*E273-J273,"")</f>
        <v>15.995613836837265</v>
      </c>
      <c r="R273" s="276">
        <f>IF(H273&gt;0, rate1(1,$L$52,$L$51,$L$54,L273,$L$53,$L$50,P273),"")</f>
        <v>2207.4107999483317</v>
      </c>
      <c r="S273" s="322">
        <f t="shared" ref="S273:S278" si="154">IF(H273&gt;0, Q273/O273/R273,"")</f>
        <v>1.4326108450901072</v>
      </c>
      <c r="T273" s="322">
        <f t="shared" ref="T273:T278" si="155">IF(H273&gt;0, N273/(1-S273),"")</f>
        <v>9.7523334099714143E-2</v>
      </c>
      <c r="U273" s="327">
        <f t="shared" ref="U273:U278" si="156">L273-K273*H273</f>
        <v>6.2790934435785983</v>
      </c>
      <c r="V273" s="335">
        <f t="shared" ref="V273:V278" si="157">IF(H273&gt;0, (D273+U273)/2,"")</f>
        <v>6.2790934435785983</v>
      </c>
      <c r="W273" s="327">
        <f t="shared" ref="W273:W278" si="158">IF(H273&gt;0, 2*($P$53*V273/$S$52/$S$51)^2-(B273-C273)*2,"")</f>
        <v>1.1612656706674329E-3</v>
      </c>
      <c r="X273" s="327">
        <f t="shared" ref="X273:X278" si="159">IF(H273&gt;0, V273/$S$54*(B273-C273+W273/2)*F273-J273,"")</f>
        <v>23.727526261726553</v>
      </c>
      <c r="Y273" s="327">
        <f t="shared" si="141"/>
        <v>151.12579726874378</v>
      </c>
      <c r="Z273" s="107">
        <f>IF(H273&gt;0, rate1(1,$L$52,$L$51,$L$54,U273,$L$53,$L$50,Y273),"")</f>
        <v>2208.5437603834453</v>
      </c>
      <c r="AA273" s="335">
        <f t="shared" ref="AA273:AA278" si="160">IF(H273&gt;0, X273/O273/Z273,"")</f>
        <v>2.1240118751936836</v>
      </c>
      <c r="AB273" s="335">
        <f t="shared" ref="AB273:AB278" si="161">IF(H273&gt;0, W273/(1-AA273),"")</f>
        <v>-1.033143595984989E-3</v>
      </c>
      <c r="AC273" s="327">
        <f t="shared" ref="AC273:AC278" si="162">IF(H273&gt;0, delta_z(N273,S273,H273,AE272,AB273),"")</f>
        <v>9.7523334099714143E-2</v>
      </c>
      <c r="AD273" s="327">
        <f t="shared" ref="AD273:AD278" si="163">IF(H273&gt;0, H273/AC273*K273,"")</f>
        <v>-0.20507912475132065</v>
      </c>
      <c r="AE273" s="327">
        <f t="shared" ref="AE273:AE278" si="164">IF(H273&gt;0, (AD273-AD272)/(AC273+AC272)*2,"")</f>
        <v>-2.4407796973910192E-3</v>
      </c>
      <c r="AF273" s="327">
        <f t="shared" ref="AF273:AF278" si="165">IF(H273&gt;0, B273-(AC273-N273),"")</f>
        <v>1476.76731895285</v>
      </c>
      <c r="AG273" s="327">
        <f t="shared" ref="AG273:AG278" si="166">IF(H273&gt;0, C273-AC273,"")</f>
        <v>1469.9995544845422</v>
      </c>
      <c r="AH273" s="327">
        <f t="shared" ref="AH273:AH278" si="167">IF(H273&gt;0, $S$54*$S$53*$C$55*SQRT(AF273-AG273),"")</f>
        <v>6.25961281703289</v>
      </c>
      <c r="AI273" s="327">
        <f t="shared" ref="AI273:AI278" si="168">IF(H273&gt;0, AC273/R273*1000000,"")</f>
        <v>44.179966004513908</v>
      </c>
      <c r="AJ273" s="327">
        <f t="shared" ref="AJ273:AJ278" si="169">IF(H273&gt;0, AJ272+AI273/3600,"")</f>
        <v>3.3925525537361096</v>
      </c>
      <c r="AK273" s="336">
        <f t="shared" ref="AK273:AK278" si="170">IF(H273&gt;0, AK272+AI272*G272/1000000,"")</f>
        <v>30.311121287695237</v>
      </c>
      <c r="AL273" s="42">
        <f t="shared" ref="AL273:AL278" si="171">IF(H273&gt;0, AL272+AI272*J272/1000000,"")</f>
        <v>22.488329052319241</v>
      </c>
    </row>
    <row r="274" spans="1:38" x14ac:dyDescent="0.25">
      <c r="A274" s="115"/>
      <c r="B274" s="327">
        <f t="shared" si="142"/>
        <v>1476.76731895285</v>
      </c>
      <c r="C274" s="327">
        <f t="shared" si="143"/>
        <v>1469.9995544845422</v>
      </c>
      <c r="D274" s="327">
        <f t="shared" si="144"/>
        <v>6.25961281703289</v>
      </c>
      <c r="E274" s="327">
        <f t="shared" si="137"/>
        <v>73.08856156226436</v>
      </c>
      <c r="F274" s="327">
        <f t="shared" si="145"/>
        <v>73.041694386603723</v>
      </c>
      <c r="G274" s="327">
        <f t="shared" si="146"/>
        <v>1839.3034931078059</v>
      </c>
      <c r="H274" s="312">
        <f t="shared" si="147"/>
        <v>0.02</v>
      </c>
      <c r="I274" s="327">
        <f t="shared" si="148"/>
        <v>4.0606586809847158</v>
      </c>
      <c r="J274" s="327">
        <f t="shared" si="138"/>
        <v>1848</v>
      </c>
      <c r="K274" s="334">
        <f t="shared" si="149"/>
        <v>-1</v>
      </c>
      <c r="L274" s="322">
        <f t="shared" si="150"/>
        <v>6.2396128170328904</v>
      </c>
      <c r="M274" s="322">
        <f t="shared" si="151"/>
        <v>6.2496128170328902</v>
      </c>
      <c r="N274" s="327">
        <f t="shared" si="152"/>
        <v>-4.2062244757039124E-2</v>
      </c>
      <c r="O274" s="327">
        <f t="shared" si="139"/>
        <v>3.3066709121516366E-4</v>
      </c>
      <c r="P274" s="331">
        <f t="shared" si="140"/>
        <v>150.02018187647917</v>
      </c>
      <c r="Q274" s="327">
        <f t="shared" si="153"/>
        <v>1.0443290663354219</v>
      </c>
      <c r="R274" s="276">
        <f>IF(H274&gt;0, rate1(1,$L$52,$L$51,$L$54,L274,$L$53,$L$50,P274),"")</f>
        <v>2205.9303580464148</v>
      </c>
      <c r="S274" s="322">
        <f t="shared" si="154"/>
        <v>1.4317084663871344</v>
      </c>
      <c r="T274" s="322">
        <f t="shared" si="155"/>
        <v>9.74320589750024E-2</v>
      </c>
      <c r="U274" s="327">
        <f t="shared" si="156"/>
        <v>6.25961281703289</v>
      </c>
      <c r="V274" s="335">
        <f t="shared" si="157"/>
        <v>6.25961281703289</v>
      </c>
      <c r="W274" s="327">
        <f t="shared" si="158"/>
        <v>1.1540712911344286E-3</v>
      </c>
      <c r="X274" s="327">
        <f t="shared" si="159"/>
        <v>8.7431231756004308</v>
      </c>
      <c r="Y274" s="327">
        <f t="shared" si="141"/>
        <v>150.50066029923252</v>
      </c>
      <c r="Z274" s="107">
        <f>IF(H274&gt;0, rate1(1,$L$52,$L$51,$L$54,U274,$L$53,$L$50,Y274),"")</f>
        <v>2207.0700471491768</v>
      </c>
      <c r="AA274" s="335">
        <f t="shared" si="160"/>
        <v>11.980074119844558</v>
      </c>
      <c r="AB274" s="335">
        <f t="shared" si="161"/>
        <v>-1.051059654550644E-4</v>
      </c>
      <c r="AC274" s="327">
        <f t="shared" si="162"/>
        <v>9.74320589750024E-2</v>
      </c>
      <c r="AD274" s="327">
        <f t="shared" si="163"/>
        <v>-0.20527124450003964</v>
      </c>
      <c r="AE274" s="327">
        <f t="shared" si="164"/>
        <v>-1.9709098136655731E-3</v>
      </c>
      <c r="AF274" s="327">
        <f t="shared" si="165"/>
        <v>1476.6278246491179</v>
      </c>
      <c r="AG274" s="327">
        <f t="shared" si="166"/>
        <v>1469.9021224255671</v>
      </c>
      <c r="AH274" s="327">
        <f t="shared" si="167"/>
        <v>6.2401304797211399</v>
      </c>
      <c r="AI274" s="327">
        <f t="shared" si="168"/>
        <v>44.168238865568192</v>
      </c>
      <c r="AJ274" s="327">
        <f t="shared" si="169"/>
        <v>3.4048215089765455</v>
      </c>
      <c r="AK274" s="336">
        <f t="shared" si="170"/>
        <v>30.393039893475233</v>
      </c>
      <c r="AL274" s="42">
        <f t="shared" si="171"/>
        <v>22.569973629495582</v>
      </c>
    </row>
    <row r="275" spans="1:38" x14ac:dyDescent="0.25">
      <c r="A275" s="115"/>
      <c r="B275" s="327">
        <f t="shared" si="142"/>
        <v>1476.6278246491179</v>
      </c>
      <c r="C275" s="327">
        <f t="shared" si="143"/>
        <v>1469.9021224255671</v>
      </c>
      <c r="D275" s="327">
        <f t="shared" si="144"/>
        <v>6.2401304797211399</v>
      </c>
      <c r="E275" s="327">
        <f t="shared" si="137"/>
        <v>73.182364022290997</v>
      </c>
      <c r="F275" s="327">
        <f t="shared" si="145"/>
        <v>73.135462792277679</v>
      </c>
      <c r="G275" s="327">
        <f t="shared" si="146"/>
        <v>1824.4674134830577</v>
      </c>
      <c r="H275" s="312">
        <f t="shared" si="147"/>
        <v>0.02</v>
      </c>
      <c r="I275" s="327">
        <f t="shared" si="148"/>
        <v>4.0354213341304783</v>
      </c>
      <c r="J275" s="327">
        <f t="shared" si="138"/>
        <v>1848</v>
      </c>
      <c r="K275" s="334">
        <f t="shared" si="149"/>
        <v>-1</v>
      </c>
      <c r="L275" s="322">
        <f t="shared" si="150"/>
        <v>6.2201304797211403</v>
      </c>
      <c r="M275" s="322">
        <f t="shared" si="151"/>
        <v>6.2301304797211401</v>
      </c>
      <c r="N275" s="327">
        <f t="shared" si="152"/>
        <v>-4.1934803986560354E-2</v>
      </c>
      <c r="O275" s="327">
        <f t="shared" si="139"/>
        <v>3.3066709121516366E-4</v>
      </c>
      <c r="P275" s="331">
        <f t="shared" si="140"/>
        <v>149.39614074486349</v>
      </c>
      <c r="Q275" s="327">
        <f t="shared" si="153"/>
        <v>-13.843315330789665</v>
      </c>
      <c r="R275" s="276">
        <f>IF(H275&gt;0, rate1(1,$L$52,$L$51,$L$54,L275,$L$53,$L$50,P275),"")</f>
        <v>2204.4409725981113</v>
      </c>
      <c r="S275" s="322">
        <f t="shared" si="154"/>
        <v>-18.991123682203106</v>
      </c>
      <c r="T275" s="322">
        <f t="shared" si="155"/>
        <v>-2.0976711791289844E-3</v>
      </c>
      <c r="U275" s="327">
        <f t="shared" si="156"/>
        <v>6.2401304797211399</v>
      </c>
      <c r="V275" s="335">
        <f t="shared" si="157"/>
        <v>6.2401304797211399</v>
      </c>
      <c r="W275" s="327">
        <f t="shared" si="158"/>
        <v>1.1468986376979018E-3</v>
      </c>
      <c r="X275" s="327">
        <f t="shared" si="159"/>
        <v>-6.1782478636264386</v>
      </c>
      <c r="Y275" s="327">
        <f t="shared" si="141"/>
        <v>149.87611797588588</v>
      </c>
      <c r="Z275" s="107">
        <f>IF(H275&gt;0, rate1(1,$L$52,$L$51,$L$54,U275,$L$53,$L$50,Y275),"")</f>
        <v>2205.587446735964</v>
      </c>
      <c r="AA275" s="335">
        <f t="shared" si="160"/>
        <v>-8.4713001827317562</v>
      </c>
      <c r="AB275" s="335">
        <f t="shared" si="161"/>
        <v>1.2109199535127689E-4</v>
      </c>
      <c r="AC275" s="327">
        <f t="shared" si="162"/>
        <v>1.2109199535127689E-4</v>
      </c>
      <c r="AD275" s="327">
        <f t="shared" si="163"/>
        <v>-165.16368354474477</v>
      </c>
      <c r="AE275" s="327">
        <f t="shared" si="164"/>
        <v>-3381.9186906710056</v>
      </c>
      <c r="AF275" s="327">
        <f t="shared" si="165"/>
        <v>1476.5857687531359</v>
      </c>
      <c r="AG275" s="327">
        <f t="shared" si="166"/>
        <v>1469.9020013335717</v>
      </c>
      <c r="AH275" s="327">
        <f t="shared" si="167"/>
        <v>6.2206464311806053</v>
      </c>
      <c r="AI275" s="327">
        <f t="shared" si="168"/>
        <v>5.4930931177785275E-2</v>
      </c>
      <c r="AJ275" s="327">
        <f t="shared" si="169"/>
        <v>3.4048367675685394</v>
      </c>
      <c r="AK275" s="336">
        <f t="shared" si="170"/>
        <v>30.474278689505091</v>
      </c>
      <c r="AL275" s="42">
        <f t="shared" si="171"/>
        <v>22.65159653491915</v>
      </c>
    </row>
    <row r="276" spans="1:38" x14ac:dyDescent="0.25">
      <c r="A276" s="115"/>
      <c r="B276" s="327">
        <f t="shared" si="142"/>
        <v>1476.5857687531359</v>
      </c>
      <c r="C276" s="327">
        <f t="shared" si="143"/>
        <v>1469.9020013335717</v>
      </c>
      <c r="D276" s="327">
        <f t="shared" si="144"/>
        <v>6.2206464311806053</v>
      </c>
      <c r="E276" s="327">
        <f t="shared" si="137"/>
        <v>73.078569106609876</v>
      </c>
      <c r="F276" s="327">
        <f t="shared" si="145"/>
        <v>73.130466564450444</v>
      </c>
      <c r="G276" s="327">
        <f t="shared" si="146"/>
        <v>1895.8867135420799</v>
      </c>
      <c r="H276" s="312">
        <f t="shared" si="147"/>
        <v>0.08</v>
      </c>
      <c r="I276" s="327">
        <f t="shared" si="148"/>
        <v>4.0102604517385316</v>
      </c>
      <c r="J276" s="327">
        <f t="shared" si="138"/>
        <v>1848</v>
      </c>
      <c r="K276" s="334">
        <f t="shared" si="149"/>
        <v>1</v>
      </c>
      <c r="L276" s="322">
        <f t="shared" si="150"/>
        <v>6.3006464311806054</v>
      </c>
      <c r="M276" s="322">
        <f t="shared" si="151"/>
        <v>6.2606464311806054</v>
      </c>
      <c r="N276" s="327">
        <f t="shared" si="152"/>
        <v>0.17361900832217358</v>
      </c>
      <c r="O276" s="327">
        <f t="shared" si="139"/>
        <v>3.3066709121516366E-4</v>
      </c>
      <c r="P276" s="331">
        <f t="shared" si="140"/>
        <v>151.17778560252032</v>
      </c>
      <c r="Q276" s="327">
        <f t="shared" si="153"/>
        <v>10.600886798674537</v>
      </c>
      <c r="R276" s="276">
        <f>IF(H276&gt;0, rate1(1,$L$52,$L$51,$L$54,L276,$L$53,$L$50,P276),"")</f>
        <v>2208.6658582360151</v>
      </c>
      <c r="S276" s="322">
        <f t="shared" si="154"/>
        <v>14.515139165563934</v>
      </c>
      <c r="T276" s="322">
        <f t="shared" si="155"/>
        <v>-1.2846261233073225E-2</v>
      </c>
      <c r="U276" s="327">
        <f t="shared" si="156"/>
        <v>6.2206464311806053</v>
      </c>
      <c r="V276" s="335">
        <f t="shared" si="157"/>
        <v>6.2206464311806053</v>
      </c>
      <c r="W276" s="327">
        <f t="shared" si="158"/>
        <v>1.1397477160546288E-3</v>
      </c>
      <c r="X276" s="327">
        <f t="shared" si="159"/>
        <v>-23.501676685880511</v>
      </c>
      <c r="Y276" s="327">
        <f t="shared" si="141"/>
        <v>149.25217180516279</v>
      </c>
      <c r="Z276" s="107">
        <f>IF(H276&gt;0, rate1(1,$L$52,$L$51,$L$54,U276,$L$53,$L$50,Y276),"")</f>
        <v>2204.0958841581778</v>
      </c>
      <c r="AA276" s="335">
        <f t="shared" si="160"/>
        <v>-32.246114276633044</v>
      </c>
      <c r="AB276" s="335">
        <f t="shared" si="161"/>
        <v>3.428213314106599E-5</v>
      </c>
      <c r="AC276" s="327">
        <f t="shared" si="162"/>
        <v>3.428213314106599E-5</v>
      </c>
      <c r="AD276" s="327">
        <f t="shared" si="163"/>
        <v>2333.5770755807885</v>
      </c>
      <c r="AE276" s="327">
        <f t="shared" si="164"/>
        <v>32164180.5282747</v>
      </c>
      <c r="AF276" s="327">
        <f t="shared" si="165"/>
        <v>1476.759353479325</v>
      </c>
      <c r="AG276" s="327">
        <f t="shared" si="166"/>
        <v>1469.9019670514385</v>
      </c>
      <c r="AH276" s="327">
        <f t="shared" si="167"/>
        <v>6.3009228916340936</v>
      </c>
      <c r="AI276" s="327">
        <f t="shared" si="168"/>
        <v>1.5521647610583314E-2</v>
      </c>
      <c r="AJ276" s="327">
        <f t="shared" si="169"/>
        <v>3.40484107913732</v>
      </c>
      <c r="AK276" s="336">
        <f t="shared" si="170"/>
        <v>30.474378909199018</v>
      </c>
      <c r="AL276" s="42">
        <f t="shared" si="171"/>
        <v>22.651698047279968</v>
      </c>
    </row>
    <row r="277" spans="1:38" x14ac:dyDescent="0.25">
      <c r="A277" s="115"/>
      <c r="B277" s="327">
        <f t="shared" si="142"/>
        <v>1476.759353479325</v>
      </c>
      <c r="C277" s="327">
        <f t="shared" si="143"/>
        <v>1469.9019670514385</v>
      </c>
      <c r="D277" s="327">
        <f t="shared" si="144"/>
        <v>6.3009228916340936</v>
      </c>
      <c r="E277" s="327">
        <f t="shared" si="137"/>
        <v>73.509391363241662</v>
      </c>
      <c r="F277" s="327">
        <f t="shared" si="145"/>
        <v>73.293980234925769</v>
      </c>
      <c r="G277" s="327">
        <f t="shared" si="146"/>
        <v>1882.5580008354732</v>
      </c>
      <c r="H277" s="312">
        <f t="shared" si="147"/>
        <v>0.02</v>
      </c>
      <c r="I277" s="327">
        <f t="shared" si="148"/>
        <v>4.1144318567318807</v>
      </c>
      <c r="J277" s="327">
        <f t="shared" si="138"/>
        <v>1848</v>
      </c>
      <c r="K277" s="334">
        <f t="shared" si="149"/>
        <v>-1</v>
      </c>
      <c r="L277" s="322">
        <f t="shared" si="150"/>
        <v>6.280922891634094</v>
      </c>
      <c r="M277" s="322">
        <f t="shared" si="151"/>
        <v>6.2909228916340938</v>
      </c>
      <c r="N277" s="327">
        <f t="shared" si="152"/>
        <v>-4.2332394410280472E-2</v>
      </c>
      <c r="O277" s="327">
        <f t="shared" si="139"/>
        <v>3.3066709121516366E-4</v>
      </c>
      <c r="P277" s="331">
        <f t="shared" si="140"/>
        <v>151.34554063564113</v>
      </c>
      <c r="Q277" s="327">
        <f t="shared" si="153"/>
        <v>48.812856195268523</v>
      </c>
      <c r="R277" s="276">
        <f>IF(H277&gt;0, rate1(1,$L$52,$L$51,$L$54,L277,$L$53,$L$50,P277),"")</f>
        <v>2209.0593612287057</v>
      </c>
      <c r="S277" s="322">
        <f t="shared" si="154"/>
        <v>66.824521714537454</v>
      </c>
      <c r="T277" s="322">
        <f t="shared" si="155"/>
        <v>6.4310979111803089E-4</v>
      </c>
      <c r="U277" s="327">
        <f t="shared" si="156"/>
        <v>6.3009228916340936</v>
      </c>
      <c r="V277" s="335">
        <f t="shared" si="157"/>
        <v>6.3009228916340936</v>
      </c>
      <c r="W277" s="327">
        <f t="shared" si="158"/>
        <v>1.1693540526866997E-3</v>
      </c>
      <c r="X277" s="327">
        <f t="shared" si="159"/>
        <v>52.287768545038034</v>
      </c>
      <c r="Y277" s="327">
        <f t="shared" si="141"/>
        <v>151.82707834343577</v>
      </c>
      <c r="Z277" s="107">
        <f>IF(H277&gt;0, rate1(1,$L$52,$L$51,$L$54,U277,$L$53,$L$50,Y277),"")</f>
        <v>2210.1848472509264</v>
      </c>
      <c r="AA277" s="335">
        <f t="shared" si="160"/>
        <v>71.545205581686545</v>
      </c>
      <c r="AB277" s="335">
        <f t="shared" si="161"/>
        <v>-1.6575953575366184E-5</v>
      </c>
      <c r="AC277" s="327">
        <f t="shared" si="162"/>
        <v>6.4310979111803089E-4</v>
      </c>
      <c r="AD277" s="327">
        <f t="shared" si="163"/>
        <v>-31.098888986327641</v>
      </c>
      <c r="AE277" s="327">
        <f t="shared" si="164"/>
        <v>-6981706.9849289991</v>
      </c>
      <c r="AF277" s="327">
        <f t="shared" si="165"/>
        <v>1476.7163779751236</v>
      </c>
      <c r="AG277" s="327">
        <f t="shared" si="166"/>
        <v>1469.9013239416474</v>
      </c>
      <c r="AH277" s="327">
        <f t="shared" si="167"/>
        <v>6.2814441817577915</v>
      </c>
      <c r="AI277" s="327">
        <f t="shared" si="168"/>
        <v>0.29112381604825927</v>
      </c>
      <c r="AJ277" s="327">
        <f t="shared" si="169"/>
        <v>3.404921946864</v>
      </c>
      <c r="AK277" s="336">
        <f t="shared" si="170"/>
        <v>30.474408336484494</v>
      </c>
      <c r="AL277" s="42">
        <f t="shared" si="171"/>
        <v>22.651726731284754</v>
      </c>
    </row>
    <row r="278" spans="1:38" x14ac:dyDescent="0.25">
      <c r="A278" s="115"/>
      <c r="B278" s="327">
        <f t="shared" si="142"/>
        <v>1476.7163779751236</v>
      </c>
      <c r="C278" s="327">
        <f t="shared" si="143"/>
        <v>1469.9013239416474</v>
      </c>
      <c r="D278" s="327">
        <f t="shared" si="144"/>
        <v>6.2814441817577915</v>
      </c>
      <c r="E278" s="327">
        <f t="shared" si="137"/>
        <v>73.405671822923068</v>
      </c>
      <c r="F278" s="327">
        <f t="shared" si="145"/>
        <v>73.457531593082365</v>
      </c>
      <c r="G278" s="327">
        <f t="shared" si="146"/>
        <v>1869.2591908468039</v>
      </c>
      <c r="H278" s="312">
        <f t="shared" si="147"/>
        <v>0.02</v>
      </c>
      <c r="I278" s="327">
        <f t="shared" si="148"/>
        <v>4.0890324200856867</v>
      </c>
      <c r="J278" s="327">
        <f t="shared" si="138"/>
        <v>1848</v>
      </c>
      <c r="K278" s="334">
        <f t="shared" si="149"/>
        <v>-1</v>
      </c>
      <c r="L278" s="322">
        <f t="shared" si="150"/>
        <v>6.2614441817577919</v>
      </c>
      <c r="M278" s="322">
        <f t="shared" si="151"/>
        <v>6.2714441817577917</v>
      </c>
      <c r="N278" s="327">
        <f t="shared" si="152"/>
        <v>-4.2205024770799682E-2</v>
      </c>
      <c r="O278" s="327">
        <f t="shared" si="139"/>
        <v>3.3066709121516366E-4</v>
      </c>
      <c r="P278" s="331">
        <f t="shared" si="140"/>
        <v>150.72023794008649</v>
      </c>
      <c r="Q278" s="327">
        <f t="shared" si="153"/>
        <v>28.596374622067515</v>
      </c>
      <c r="R278" s="276">
        <f>IF(H278&gt;0, rate1(1,$L$52,$L$51,$L$54,L278,$L$53,$L$50,P278),"")</f>
        <v>2207.5888533197467</v>
      </c>
      <c r="S278" s="322">
        <f t="shared" si="154"/>
        <v>39.174351000656728</v>
      </c>
      <c r="T278" s="322">
        <f t="shared" si="155"/>
        <v>1.1055859147434783E-3</v>
      </c>
      <c r="U278" s="327">
        <f t="shared" si="156"/>
        <v>6.2814441817577915</v>
      </c>
      <c r="V278" s="335">
        <f t="shared" si="157"/>
        <v>6.2814441817577915</v>
      </c>
      <c r="W278" s="327">
        <f t="shared" si="158"/>
        <v>1.1621353320485639E-3</v>
      </c>
      <c r="X278" s="327">
        <f t="shared" si="159"/>
        <v>38.919691727885493</v>
      </c>
      <c r="Y278" s="327">
        <f t="shared" si="141"/>
        <v>151.20127674859111</v>
      </c>
      <c r="Z278" s="107">
        <f>IF(H278&gt;0, rate1(1,$L$52,$L$51,$L$54,U278,$L$53,$L$50,Y278),"")</f>
        <v>2208.7210055458536</v>
      </c>
      <c r="AA278" s="335">
        <f t="shared" si="160"/>
        <v>53.288998119483075</v>
      </c>
      <c r="AB278" s="335">
        <f t="shared" si="161"/>
        <v>-2.2225236165225893E-5</v>
      </c>
      <c r="AC278" s="327">
        <f t="shared" si="162"/>
        <v>1.1055859147434783E-3</v>
      </c>
      <c r="AD278" s="327">
        <f t="shared" si="163"/>
        <v>-18.089955500781201</v>
      </c>
      <c r="AE278" s="327">
        <f t="shared" si="164"/>
        <v>14878.441620164536</v>
      </c>
      <c r="AF278" s="327">
        <f t="shared" si="165"/>
        <v>1476.6730673644381</v>
      </c>
      <c r="AG278" s="327">
        <f t="shared" si="166"/>
        <v>1469.9002183557327</v>
      </c>
      <c r="AH278" s="327">
        <f t="shared" si="167"/>
        <v>6.2619637616303248</v>
      </c>
      <c r="AI278" s="327">
        <f t="shared" si="168"/>
        <v>0.5008115134667902</v>
      </c>
      <c r="AJ278" s="327">
        <f t="shared" si="169"/>
        <v>3.4050610611732961</v>
      </c>
      <c r="AK278" s="336">
        <f t="shared" si="170"/>
        <v>30.474956393953629</v>
      </c>
      <c r="AL278" s="42">
        <f t="shared" si="171"/>
        <v>22.65226472809681</v>
      </c>
    </row>
    <row r="279" spans="1:38" x14ac:dyDescent="0.25">
      <c r="A279" s="115"/>
      <c r="B279" s="327">
        <f t="shared" ref="B279:B301" si="172">IF(H279&gt;0, AF278,"")</f>
        <v>1476.6730673644381</v>
      </c>
      <c r="C279" s="327">
        <f t="shared" ref="C279:C301" si="173">IF(H279&gt;0, AG278,"")</f>
        <v>1469.9002183557327</v>
      </c>
      <c r="D279" s="327">
        <f t="shared" ref="D279:D301" si="174">IF(H279&gt;0, AH278,"")</f>
        <v>6.2619637616303248</v>
      </c>
      <c r="E279" s="327">
        <f t="shared" ref="E279:E301" si="175">bb2wang($B$6,$H$12,C279,$H$8,$H$9,I279,$H$10,$H$11,$K$10,$K$11,$H$13)</f>
        <v>73.303208573986069</v>
      </c>
      <c r="F279" s="327">
        <f t="shared" ref="F279:F301" si="176">IF(H279&gt;0, (E279+E278)/2,"")</f>
        <v>73.354440198454569</v>
      </c>
      <c r="G279" s="327">
        <f t="shared" ref="G279:G301" si="177">IF(H279&gt;0, F279*$S$53*$C$55*(B279-C279+N279)^1.5,"")</f>
        <v>1849.2676414883729</v>
      </c>
      <c r="H279" s="405">
        <f t="shared" ref="H279:H301" si="178">dv(S278)</f>
        <v>0.02</v>
      </c>
      <c r="I279" s="327">
        <f t="shared" ref="I279:I301" si="179">IF(H279&gt;0, (B279-C279)*B$19,"")</f>
        <v>4.0637094052232436</v>
      </c>
      <c r="J279" s="327">
        <f t="shared" si="138"/>
        <v>1848</v>
      </c>
      <c r="K279" s="334">
        <f t="shared" ref="K279:K301" si="180">IF(H279&gt;0, IF((1-S278-0.015)&gt;0,1,-1),"")</f>
        <v>-1</v>
      </c>
      <c r="L279" s="322">
        <f t="shared" ref="L279:L301" si="181">IF(H279&gt;0, D279+K279*H279,"")</f>
        <v>6.2419637616303252</v>
      </c>
      <c r="M279" s="322">
        <f t="shared" ref="M279:M301" si="182">IF(H279&gt;0, (D279+L279)/2,"")</f>
        <v>6.251963761630325</v>
      </c>
      <c r="N279" s="327">
        <f t="shared" ref="N279:N301" si="183">IF(H279&gt;0, 2*($P$53*M279/$S$52/$S$51)^2-(B279-C279)*2,"")</f>
        <v>-4.2077621594655668E-2</v>
      </c>
      <c r="O279" s="327">
        <f t="shared" ref="O279:O301" si="184">IF(wh(B278,$F$51,$F$52,$F$53)&gt;0,wh(B278,$F$51,$F$52,$F$53),O278)</f>
        <v>3.3066709121516366E-4</v>
      </c>
      <c r="P279" s="331">
        <f t="shared" ref="P279:P301" si="185">IF(H279&gt;0, $C$54*$L$55*$L$55*M279*M279/(($B$19*(B279-C279))^0.333)*1000,"")</f>
        <v>150.09552928937126</v>
      </c>
      <c r="Q279" s="327">
        <f t="shared" ref="Q279:Q301" si="186">IF(H279&gt;0, M279/$S$54*(B279-C279+N279/2)*E279-J279,"")</f>
        <v>8.5682209213348415</v>
      </c>
      <c r="R279" s="276">
        <f>IF(H279&gt;0, rate1(1,$L$52,$L$51,$L$54,L279,$L$53,$L$50,P279),"")</f>
        <v>2206.1094856209611</v>
      </c>
      <c r="S279" s="322">
        <f t="shared" ref="S279:S301" si="187">IF(H279&gt;0, Q279/O279/R279,"")</f>
        <v>11.745530007277022</v>
      </c>
      <c r="T279" s="322">
        <f t="shared" ref="T279:T301" si="188">IF(H279&gt;0, N279/(1-S279),"")</f>
        <v>3.9158256099196707E-3</v>
      </c>
      <c r="U279" s="327">
        <f t="shared" ref="U279:U301" si="189">L279-K279*H279</f>
        <v>6.2619637616303248</v>
      </c>
      <c r="V279" s="335">
        <f t="shared" ref="V279:V301" si="190">IF(H279&gt;0, (D279+U279)/2,"")</f>
        <v>6.2619637616303248</v>
      </c>
      <c r="W279" s="327">
        <f t="shared" ref="W279:W301" si="191">IF(H279&gt;0, 2*($P$53*V279/$S$52/$S$51)^2-(B279-C279)*2,"")</f>
        <v>1.1549383310747174E-3</v>
      </c>
      <c r="X279" s="327">
        <f t="shared" ref="X279:X301" si="192">IF(H279&gt;0, V279/$S$54*(B279-C279+W279/2)*F279-J279,"")</f>
        <v>18.794998437571621</v>
      </c>
      <c r="Y279" s="327">
        <f t="shared" ref="Y279:Y301" si="193">IF(H279&gt;0, $C$54*$L$55*$L$55*V279*V279/(($B$19*(B279-C279))^0.333)*1000,"")</f>
        <v>150.57606812076475</v>
      </c>
      <c r="Z279" s="107">
        <f>IF(H279&gt;0, rate1(1,$L$52,$L$51,$L$54,U279,$L$53,$L$50,Y279),"")</f>
        <v>2207.2483597528303</v>
      </c>
      <c r="AA279" s="335">
        <f t="shared" ref="AA279:AA301" si="194">IF(H279&gt;0, X279/O279/Z279,"")</f>
        <v>25.751356791514123</v>
      </c>
      <c r="AB279" s="335">
        <f t="shared" ref="AB279:AB301" si="195">IF(H279&gt;0, W279/(1-AA279),"")</f>
        <v>-4.6661617009645395E-5</v>
      </c>
      <c r="AC279" s="327">
        <f t="shared" ref="AC279:AC301" si="196">IF(H279&gt;0, delta_z(N279,S279,H279,AE278,AB279),"")</f>
        <v>3.9158256099196707E-3</v>
      </c>
      <c r="AD279" s="327">
        <f t="shared" ref="AD279:AD301" si="197">IF(H279&gt;0, H279/AC279*K279,"")</f>
        <v>-5.1074797481622989</v>
      </c>
      <c r="AE279" s="327">
        <f t="shared" ref="AE279:AE301" si="198">IF(H279&gt;0, (AD279-AD278)/(AC279+AC278)*2,"")</f>
        <v>5170.8471567622837</v>
      </c>
      <c r="AF279" s="327">
        <f t="shared" ref="AF279:AF301" si="199">IF(H279&gt;0, B279-(AC279-N279),"")</f>
        <v>1476.6270739172335</v>
      </c>
      <c r="AG279" s="327">
        <f t="shared" ref="AG279:AG301" si="200">IF(H279&gt;0, C279-AC279,"")</f>
        <v>1469.8963025301227</v>
      </c>
      <c r="AH279" s="327">
        <f t="shared" ref="AH279:AH301" si="201">IF(H279&gt;0, $S$54*$S$53*$C$55*SQRT(AF279-AG279),"")</f>
        <v>6.2424816307923301</v>
      </c>
      <c r="AI279" s="327">
        <f t="shared" ref="AI279:AI301" si="202">IF(H279&gt;0, AC279/R279*1000000,"")</f>
        <v>1.7749915112746411</v>
      </c>
      <c r="AJ279" s="327">
        <f t="shared" ref="AJ279:AJ301" si="203">IF(H279&gt;0, AJ278+AI279/3600,"")</f>
        <v>3.4055541143708723</v>
      </c>
      <c r="AK279" s="336">
        <f t="shared" ref="AK279:AK301" si="204">IF(H279&gt;0, AK278+AI278*G278/1000000,"")</f>
        <v>30.475892540478061</v>
      </c>
      <c r="AL279" s="42">
        <f t="shared" ref="AL279:AL301" si="205">IF(H279&gt;0, AL278+AI278*J278/1000000,"")</f>
        <v>22.653190227773695</v>
      </c>
    </row>
    <row r="280" spans="1:38" x14ac:dyDescent="0.25">
      <c r="A280" s="115"/>
      <c r="B280" s="327">
        <f t="shared" si="172"/>
        <v>1476.6270739172335</v>
      </c>
      <c r="C280" s="327">
        <f t="shared" si="173"/>
        <v>1469.8963025301227</v>
      </c>
      <c r="D280" s="327">
        <f t="shared" si="174"/>
        <v>6.2424816307923301</v>
      </c>
      <c r="E280" s="327">
        <f t="shared" si="175"/>
        <v>73.206775638415138</v>
      </c>
      <c r="F280" s="327">
        <f t="shared" si="176"/>
        <v>73.254992106200604</v>
      </c>
      <c r="G280" s="327">
        <f t="shared" si="177"/>
        <v>1829.5223106833005</v>
      </c>
      <c r="H280" s="405">
        <f t="shared" si="178"/>
        <v>0.02</v>
      </c>
      <c r="I280" s="327">
        <f t="shared" si="179"/>
        <v>4.0384628322664406</v>
      </c>
      <c r="J280" s="327">
        <f t="shared" si="138"/>
        <v>1848</v>
      </c>
      <c r="K280" s="334">
        <f t="shared" si="180"/>
        <v>-1</v>
      </c>
      <c r="L280" s="322">
        <f t="shared" si="181"/>
        <v>6.2224816307923305</v>
      </c>
      <c r="M280" s="322">
        <f t="shared" si="182"/>
        <v>6.2324816307923303</v>
      </c>
      <c r="N280" s="327">
        <f t="shared" si="183"/>
        <v>-4.1950184872932894E-2</v>
      </c>
      <c r="O280" s="327">
        <f t="shared" si="184"/>
        <v>3.3066709121516366E-4</v>
      </c>
      <c r="P280" s="331">
        <f t="shared" si="185"/>
        <v>149.47141618702599</v>
      </c>
      <c r="Q280" s="327">
        <f t="shared" si="186"/>
        <v>-11.153470882377633</v>
      </c>
      <c r="R280" s="276">
        <f>IF(H280&gt;0, rate1(1,$L$52,$L$51,$L$54,L280,$L$53,$L$50,P280),"")</f>
        <v>2204.6211834429828</v>
      </c>
      <c r="S280" s="322">
        <f t="shared" si="187"/>
        <v>-15.299776501805624</v>
      </c>
      <c r="T280" s="322">
        <f t="shared" si="188"/>
        <v>-2.5736662627420578E-3</v>
      </c>
      <c r="U280" s="327">
        <f t="shared" si="189"/>
        <v>6.2424816307923301</v>
      </c>
      <c r="V280" s="335">
        <f t="shared" si="190"/>
        <v>6.2424816307923301</v>
      </c>
      <c r="W280" s="327">
        <f t="shared" si="191"/>
        <v>1.1477630555010165E-3</v>
      </c>
      <c r="X280" s="327">
        <f t="shared" si="192"/>
        <v>-1.0819887219663542</v>
      </c>
      <c r="Y280" s="327">
        <f t="shared" si="193"/>
        <v>149.95145395782478</v>
      </c>
      <c r="Z280" s="107">
        <f>IF(H280&gt;0, rate1(1,$L$52,$L$51,$L$54,U280,$L$53,$L$50,Y280),"")</f>
        <v>2205.7668357759312</v>
      </c>
      <c r="AA280" s="335">
        <f t="shared" si="194"/>
        <v>-1.4834474152807429</v>
      </c>
      <c r="AB280" s="335">
        <f t="shared" si="195"/>
        <v>4.6216523387561511E-4</v>
      </c>
      <c r="AC280" s="327">
        <f t="shared" si="196"/>
        <v>4.6216523387561511E-4</v>
      </c>
      <c r="AD280" s="327">
        <f t="shared" si="197"/>
        <v>-43.274566181199823</v>
      </c>
      <c r="AE280" s="327">
        <f t="shared" si="198"/>
        <v>-17435.891391655096</v>
      </c>
      <c r="AF280" s="327">
        <f t="shared" si="199"/>
        <v>1476.5846615671267</v>
      </c>
      <c r="AG280" s="327">
        <f t="shared" si="200"/>
        <v>1469.895840364889</v>
      </c>
      <c r="AH280" s="327">
        <f t="shared" si="201"/>
        <v>6.2229977887815107</v>
      </c>
      <c r="AI280" s="327">
        <f t="shared" si="202"/>
        <v>0.20963476054142158</v>
      </c>
      <c r="AJ280" s="327">
        <f t="shared" si="203"/>
        <v>3.4056123462488004</v>
      </c>
      <c r="AK280" s="336">
        <f t="shared" si="204"/>
        <v>30.479174974843776</v>
      </c>
      <c r="AL280" s="42">
        <f t="shared" si="205"/>
        <v>22.656470412086531</v>
      </c>
    </row>
    <row r="281" spans="1:38" x14ac:dyDescent="0.25">
      <c r="A281" s="115"/>
      <c r="B281" s="327">
        <f t="shared" si="172"/>
        <v>1476.5846615671267</v>
      </c>
      <c r="C281" s="327">
        <f t="shared" si="173"/>
        <v>1469.895840364889</v>
      </c>
      <c r="D281" s="327">
        <f t="shared" si="174"/>
        <v>6.2229977887815107</v>
      </c>
      <c r="E281" s="327">
        <f t="shared" si="175"/>
        <v>73.10363485581837</v>
      </c>
      <c r="F281" s="327">
        <f t="shared" si="176"/>
        <v>73.155205247116754</v>
      </c>
      <c r="G281" s="327">
        <f t="shared" si="177"/>
        <v>1898.6523363366086</v>
      </c>
      <c r="H281" s="405">
        <f t="shared" si="178"/>
        <v>0.08</v>
      </c>
      <c r="I281" s="327">
        <f t="shared" si="179"/>
        <v>4.0132927213426228</v>
      </c>
      <c r="J281" s="327">
        <f t="shared" si="138"/>
        <v>1848</v>
      </c>
      <c r="K281" s="334">
        <f t="shared" si="180"/>
        <v>1</v>
      </c>
      <c r="L281" s="322">
        <f t="shared" si="181"/>
        <v>6.3029977887815107</v>
      </c>
      <c r="M281" s="322">
        <f t="shared" si="182"/>
        <v>6.2629977887815107</v>
      </c>
      <c r="N281" s="327">
        <f t="shared" si="183"/>
        <v>0.17368485704196956</v>
      </c>
      <c r="O281" s="327">
        <f t="shared" si="184"/>
        <v>3.3066709121516366E-4</v>
      </c>
      <c r="P281" s="331">
        <f t="shared" si="185"/>
        <v>151.25329030774682</v>
      </c>
      <c r="Q281" s="327">
        <f t="shared" si="186"/>
        <v>13.334032710947895</v>
      </c>
      <c r="R281" s="276">
        <f>IF(H281&gt;0, rate1(1,$L$52,$L$51,$L$54,L281,$L$53,$L$50,P281),"")</f>
        <v>2208.843060297077</v>
      </c>
      <c r="S281" s="322">
        <f t="shared" si="187"/>
        <v>18.256002270943991</v>
      </c>
      <c r="T281" s="322">
        <f t="shared" si="188"/>
        <v>-1.006518510573122E-2</v>
      </c>
      <c r="U281" s="327">
        <f t="shared" si="189"/>
        <v>6.2229977887815107</v>
      </c>
      <c r="V281" s="335">
        <f t="shared" si="190"/>
        <v>6.2229977887815107</v>
      </c>
      <c r="W281" s="327">
        <f t="shared" si="191"/>
        <v>1.1406095110402248E-3</v>
      </c>
      <c r="X281" s="327">
        <f t="shared" si="192"/>
        <v>-20.814060433140412</v>
      </c>
      <c r="Y281" s="327">
        <f t="shared" si="193"/>
        <v>149.32743576530365</v>
      </c>
      <c r="Z281" s="107">
        <f>IF(H281&gt;0, rate1(1,$L$52,$L$51,$L$54,U281,$L$53,$L$50,Y281),"")</f>
        <v>2204.2763587259506</v>
      </c>
      <c r="AA281" s="335">
        <f t="shared" si="194"/>
        <v>-28.55615912744447</v>
      </c>
      <c r="AB281" s="335">
        <f t="shared" si="195"/>
        <v>3.85912630298809E-5</v>
      </c>
      <c r="AC281" s="327">
        <f t="shared" si="196"/>
        <v>3.85912630298809E-5</v>
      </c>
      <c r="AD281" s="327">
        <f t="shared" si="197"/>
        <v>2073.0080779697896</v>
      </c>
      <c r="AE281" s="327">
        <f t="shared" si="198"/>
        <v>8452342.2351138443</v>
      </c>
      <c r="AF281" s="327">
        <f t="shared" si="199"/>
        <v>1476.7583078329055</v>
      </c>
      <c r="AG281" s="327">
        <f t="shared" si="200"/>
        <v>1469.8958017736259</v>
      </c>
      <c r="AH281" s="327">
        <f t="shared" si="201"/>
        <v>6.3032745444326288</v>
      </c>
      <c r="AI281" s="327">
        <f t="shared" si="202"/>
        <v>1.7471256208075998E-2</v>
      </c>
      <c r="AJ281" s="327">
        <f t="shared" si="203"/>
        <v>3.4056171993755249</v>
      </c>
      <c r="AK281" s="336">
        <f t="shared" si="204"/>
        <v>30.479558506315282</v>
      </c>
      <c r="AL281" s="42">
        <f t="shared" si="205"/>
        <v>22.65685781712401</v>
      </c>
    </row>
    <row r="282" spans="1:38" x14ac:dyDescent="0.25">
      <c r="A282" s="115"/>
      <c r="B282" s="327">
        <f t="shared" si="172"/>
        <v>1476.7583078329055</v>
      </c>
      <c r="C282" s="327">
        <f t="shared" si="173"/>
        <v>1469.8958017736259</v>
      </c>
      <c r="D282" s="327">
        <f t="shared" si="174"/>
        <v>6.3032745444326288</v>
      </c>
      <c r="E282" s="327">
        <f t="shared" si="175"/>
        <v>73.534634580547532</v>
      </c>
      <c r="F282" s="327">
        <f t="shared" si="176"/>
        <v>73.319134718182951</v>
      </c>
      <c r="G282" s="327">
        <f t="shared" si="177"/>
        <v>1885.320179245002</v>
      </c>
      <c r="H282" s="405">
        <f t="shared" si="178"/>
        <v>0.02</v>
      </c>
      <c r="I282" s="327">
        <f t="shared" si="179"/>
        <v>4.1175036355678003</v>
      </c>
      <c r="J282" s="327">
        <f t="shared" si="138"/>
        <v>1848</v>
      </c>
      <c r="K282" s="334">
        <f t="shared" si="180"/>
        <v>-1</v>
      </c>
      <c r="L282" s="322">
        <f t="shared" si="181"/>
        <v>6.2832745444326292</v>
      </c>
      <c r="M282" s="322">
        <f t="shared" si="182"/>
        <v>6.293274544432629</v>
      </c>
      <c r="N282" s="327">
        <f t="shared" si="183"/>
        <v>-4.2347770157329379E-2</v>
      </c>
      <c r="O282" s="327">
        <f t="shared" si="184"/>
        <v>3.3066709121516366E-4</v>
      </c>
      <c r="P282" s="331">
        <f t="shared" si="185"/>
        <v>151.42107688278625</v>
      </c>
      <c r="Q282" s="327">
        <f t="shared" si="186"/>
        <v>51.59293179502788</v>
      </c>
      <c r="R282" s="276">
        <f>IF(H282&gt;0, rate1(1,$L$52,$L$51,$L$54,L282,$L$53,$L$50,P282),"")</f>
        <v>2209.2363076110319</v>
      </c>
      <c r="S282" s="322">
        <f t="shared" si="187"/>
        <v>70.624772286207403</v>
      </c>
      <c r="T282" s="322">
        <f t="shared" si="188"/>
        <v>6.0822849061896943E-4</v>
      </c>
      <c r="U282" s="327">
        <f t="shared" si="189"/>
        <v>6.3032745444326288</v>
      </c>
      <c r="V282" s="335">
        <f t="shared" si="190"/>
        <v>6.3032745444326288</v>
      </c>
      <c r="W282" s="327">
        <f t="shared" si="191"/>
        <v>1.1702270765123757E-3</v>
      </c>
      <c r="X282" s="327">
        <f t="shared" si="192"/>
        <v>55.06916816184048</v>
      </c>
      <c r="Y282" s="327">
        <f t="shared" si="193"/>
        <v>151.90267475269965</v>
      </c>
      <c r="Z282" s="107">
        <f>IF(H282&gt;0, rate1(1,$L$52,$L$51,$L$54,U282,$L$53,$L$50,Y282),"")</f>
        <v>2210.3609925273927</v>
      </c>
      <c r="AA282" s="335">
        <f t="shared" si="194"/>
        <v>75.344982023343306</v>
      </c>
      <c r="AB282" s="335">
        <f t="shared" si="195"/>
        <v>-1.5740498479708294E-5</v>
      </c>
      <c r="AC282" s="327">
        <f t="shared" si="196"/>
        <v>6.0822849061896943E-4</v>
      </c>
      <c r="AD282" s="327">
        <f t="shared" si="197"/>
        <v>-32.88237941574689</v>
      </c>
      <c r="AE282" s="327">
        <f t="shared" si="198"/>
        <v>-6511521.7817815626</v>
      </c>
      <c r="AF282" s="327">
        <f t="shared" si="199"/>
        <v>1476.7153518342575</v>
      </c>
      <c r="AG282" s="327">
        <f t="shared" si="200"/>
        <v>1469.8951935451353</v>
      </c>
      <c r="AH282" s="327">
        <f t="shared" si="201"/>
        <v>6.28379604101311</v>
      </c>
      <c r="AI282" s="327">
        <f t="shared" si="202"/>
        <v>0.27531164888226928</v>
      </c>
      <c r="AJ282" s="327">
        <f t="shared" si="203"/>
        <v>3.4056936748335476</v>
      </c>
      <c r="AK282" s="336">
        <f t="shared" si="204"/>
        <v>30.479591678156702</v>
      </c>
      <c r="AL282" s="42">
        <f t="shared" si="205"/>
        <v>22.656890104005484</v>
      </c>
    </row>
    <row r="283" spans="1:38" x14ac:dyDescent="0.25">
      <c r="A283" s="115"/>
      <c r="B283" s="327">
        <f t="shared" si="172"/>
        <v>1476.7153518342575</v>
      </c>
      <c r="C283" s="327">
        <f t="shared" si="173"/>
        <v>1469.8951935451353</v>
      </c>
      <c r="D283" s="327">
        <f t="shared" si="174"/>
        <v>6.28379604101311</v>
      </c>
      <c r="E283" s="327">
        <f t="shared" si="175"/>
        <v>73.430804652465653</v>
      </c>
      <c r="F283" s="327">
        <f t="shared" si="176"/>
        <v>73.482719616506586</v>
      </c>
      <c r="G283" s="327">
        <f t="shared" si="177"/>
        <v>1872.0080051495904</v>
      </c>
      <c r="H283" s="405">
        <f t="shared" si="178"/>
        <v>0.02</v>
      </c>
      <c r="I283" s="327">
        <f t="shared" si="179"/>
        <v>4.0920949734733307</v>
      </c>
      <c r="J283" s="327">
        <f t="shared" si="138"/>
        <v>1848</v>
      </c>
      <c r="K283" s="334">
        <f t="shared" si="180"/>
        <v>-1</v>
      </c>
      <c r="L283" s="322">
        <f t="shared" si="181"/>
        <v>6.2637960410131104</v>
      </c>
      <c r="M283" s="322">
        <f t="shared" si="182"/>
        <v>6.2737960410131102</v>
      </c>
      <c r="N283" s="327">
        <f t="shared" si="183"/>
        <v>-4.2220404566311487E-2</v>
      </c>
      <c r="O283" s="327">
        <f t="shared" si="184"/>
        <v>3.3066709121516366E-4</v>
      </c>
      <c r="P283" s="331">
        <f t="shared" si="185"/>
        <v>150.79570256638735</v>
      </c>
      <c r="Q283" s="327">
        <f t="shared" si="186"/>
        <v>31.351635327040412</v>
      </c>
      <c r="R283" s="276">
        <f>IF(H283&gt;0, rate1(1,$L$52,$L$51,$L$54,L283,$L$53,$L$50,P283),"")</f>
        <v>2207.7668643764559</v>
      </c>
      <c r="S283" s="322">
        <f t="shared" si="187"/>
        <v>42.945336794797214</v>
      </c>
      <c r="T283" s="322">
        <f t="shared" si="188"/>
        <v>1.0065577676217012E-3</v>
      </c>
      <c r="U283" s="327">
        <f t="shared" si="189"/>
        <v>6.28379604101311</v>
      </c>
      <c r="V283" s="335">
        <f t="shared" si="190"/>
        <v>6.28379604101311</v>
      </c>
      <c r="W283" s="327">
        <f t="shared" si="191"/>
        <v>1.163005733927136E-3</v>
      </c>
      <c r="X283" s="327">
        <f t="shared" si="192"/>
        <v>41.687688874545984</v>
      </c>
      <c r="Y283" s="327">
        <f t="shared" si="193"/>
        <v>151.27680166676097</v>
      </c>
      <c r="Z283" s="107">
        <f>IF(H283&gt;0, rate1(1,$L$52,$L$51,$L$54,U283,$L$53,$L$50,Y283),"")</f>
        <v>2208.8982088113094</v>
      </c>
      <c r="AA283" s="335">
        <f t="shared" si="194"/>
        <v>57.074371907849304</v>
      </c>
      <c r="AB283" s="335">
        <f t="shared" si="195"/>
        <v>-2.0740414816208368E-5</v>
      </c>
      <c r="AC283" s="327">
        <f t="shared" si="196"/>
        <v>1.0065577676217012E-3</v>
      </c>
      <c r="AD283" s="327">
        <f t="shared" si="197"/>
        <v>-19.869699130389787</v>
      </c>
      <c r="AE283" s="327">
        <f t="shared" si="198"/>
        <v>16116.907385048691</v>
      </c>
      <c r="AF283" s="327">
        <f t="shared" si="199"/>
        <v>1476.6721248719236</v>
      </c>
      <c r="AG283" s="327">
        <f t="shared" si="200"/>
        <v>1469.8941869873677</v>
      </c>
      <c r="AH283" s="327">
        <f t="shared" si="201"/>
        <v>6.2643158273977066</v>
      </c>
      <c r="AI283" s="327">
        <f t="shared" si="202"/>
        <v>0.45591669295479953</v>
      </c>
      <c r="AJ283" s="327">
        <f t="shared" si="203"/>
        <v>3.4058203183593685</v>
      </c>
      <c r="AK283" s="336">
        <f t="shared" si="204"/>
        <v>30.480110728763922</v>
      </c>
      <c r="AL283" s="42">
        <f t="shared" si="205"/>
        <v>22.657398879932618</v>
      </c>
    </row>
    <row r="284" spans="1:38" x14ac:dyDescent="0.25">
      <c r="A284" s="115"/>
      <c r="B284" s="327">
        <f t="shared" si="172"/>
        <v>1476.6721248719236</v>
      </c>
      <c r="C284" s="327">
        <f t="shared" si="173"/>
        <v>1469.8941869873677</v>
      </c>
      <c r="D284" s="327">
        <f t="shared" si="174"/>
        <v>6.2643158273977066</v>
      </c>
      <c r="E284" s="327">
        <f t="shared" si="175"/>
        <v>73.328100571221086</v>
      </c>
      <c r="F284" s="327">
        <f t="shared" si="176"/>
        <v>73.379452611843362</v>
      </c>
      <c r="G284" s="327">
        <f t="shared" si="177"/>
        <v>1851.9902117932243</v>
      </c>
      <c r="H284" s="405">
        <f t="shared" si="178"/>
        <v>0.02</v>
      </c>
      <c r="I284" s="327">
        <f t="shared" si="179"/>
        <v>4.0667627307335801</v>
      </c>
      <c r="J284" s="327">
        <f t="shared" si="138"/>
        <v>1848</v>
      </c>
      <c r="K284" s="334">
        <f t="shared" si="180"/>
        <v>-1</v>
      </c>
      <c r="L284" s="322">
        <f t="shared" si="181"/>
        <v>6.2443158273977071</v>
      </c>
      <c r="M284" s="322">
        <f t="shared" si="182"/>
        <v>6.2543158273977069</v>
      </c>
      <c r="N284" s="327">
        <f t="shared" si="183"/>
        <v>-4.2093005439701514E-2</v>
      </c>
      <c r="O284" s="327">
        <f t="shared" si="184"/>
        <v>3.3066709121516366E-4</v>
      </c>
      <c r="P284" s="331">
        <f t="shared" si="185"/>
        <v>150.1709221138178</v>
      </c>
      <c r="Q284" s="327">
        <f t="shared" si="186"/>
        <v>11.295558313760694</v>
      </c>
      <c r="R284" s="276">
        <f>IF(H284&gt;0, rate1(1,$L$52,$L$51,$L$54,L284,$L$53,$L$50,P284),"")</f>
        <v>2206.2885703160032</v>
      </c>
      <c r="S284" s="322">
        <f t="shared" si="187"/>
        <v>15.482974973907661</v>
      </c>
      <c r="T284" s="322">
        <f t="shared" si="188"/>
        <v>2.9063783867289508E-3</v>
      </c>
      <c r="U284" s="327">
        <f t="shared" si="189"/>
        <v>6.2643158273977066</v>
      </c>
      <c r="V284" s="335">
        <f t="shared" si="190"/>
        <v>6.2643158273977066</v>
      </c>
      <c r="W284" s="327">
        <f t="shared" si="191"/>
        <v>1.1558061103169592E-3</v>
      </c>
      <c r="X284" s="327">
        <f t="shared" si="192"/>
        <v>21.536615538483602</v>
      </c>
      <c r="Y284" s="327">
        <f t="shared" si="193"/>
        <v>150.65152136751101</v>
      </c>
      <c r="Z284" s="107">
        <f>IF(H284&gt;0, rate1(1,$L$52,$L$51,$L$54,U284,$L$53,$L$50,Y284),"")</f>
        <v>2207.4266299000847</v>
      </c>
      <c r="AA284" s="335">
        <f t="shared" si="194"/>
        <v>29.505311415936138</v>
      </c>
      <c r="AB284" s="335">
        <f t="shared" si="195"/>
        <v>-4.0547043793066439E-5</v>
      </c>
      <c r="AC284" s="327">
        <f t="shared" si="196"/>
        <v>2.9063783867289508E-3</v>
      </c>
      <c r="AD284" s="327">
        <f t="shared" si="197"/>
        <v>-6.8814164361129357</v>
      </c>
      <c r="AE284" s="327">
        <f t="shared" si="198"/>
        <v>6638.6376786831297</v>
      </c>
      <c r="AF284" s="327">
        <f t="shared" si="199"/>
        <v>1476.6271254880971</v>
      </c>
      <c r="AG284" s="327">
        <f t="shared" si="200"/>
        <v>1469.8912806089809</v>
      </c>
      <c r="AH284" s="327">
        <f t="shared" si="201"/>
        <v>6.2448339031273914</v>
      </c>
      <c r="AI284" s="327">
        <f t="shared" si="202"/>
        <v>1.317315615841075</v>
      </c>
      <c r="AJ284" s="327">
        <f t="shared" si="203"/>
        <v>3.4061862393637687</v>
      </c>
      <c r="AK284" s="336">
        <f t="shared" si="204"/>
        <v>30.480964208462815</v>
      </c>
      <c r="AL284" s="42">
        <f t="shared" si="205"/>
        <v>22.658241413981198</v>
      </c>
    </row>
    <row r="285" spans="1:38" x14ac:dyDescent="0.25">
      <c r="A285" s="115"/>
      <c r="B285" s="327">
        <f t="shared" si="172"/>
        <v>1476.6271254880971</v>
      </c>
      <c r="C285" s="327">
        <f t="shared" si="173"/>
        <v>1469.8912806089809</v>
      </c>
      <c r="D285" s="327">
        <f t="shared" si="174"/>
        <v>6.2448339031273914</v>
      </c>
      <c r="E285" s="327">
        <f t="shared" si="175"/>
        <v>73.229575505630152</v>
      </c>
      <c r="F285" s="327">
        <f t="shared" si="176"/>
        <v>73.278838038425619</v>
      </c>
      <c r="G285" s="327">
        <f t="shared" si="177"/>
        <v>1832.1941582423515</v>
      </c>
      <c r="H285" s="405">
        <f t="shared" si="178"/>
        <v>0.02</v>
      </c>
      <c r="I285" s="327">
        <f t="shared" si="179"/>
        <v>4.0415069274697544</v>
      </c>
      <c r="J285" s="327">
        <f t="shared" si="138"/>
        <v>1848</v>
      </c>
      <c r="K285" s="334">
        <f t="shared" si="180"/>
        <v>-1</v>
      </c>
      <c r="L285" s="322">
        <f t="shared" si="181"/>
        <v>6.2248339031273918</v>
      </c>
      <c r="M285" s="322">
        <f t="shared" si="182"/>
        <v>6.2348339031273916</v>
      </c>
      <c r="N285" s="327">
        <f t="shared" si="183"/>
        <v>-4.1965572768591031E-2</v>
      </c>
      <c r="O285" s="327">
        <f t="shared" si="184"/>
        <v>3.3066709121516366E-4</v>
      </c>
      <c r="P285" s="331">
        <f t="shared" si="185"/>
        <v>149.54673702768088</v>
      </c>
      <c r="Q285" s="327">
        <f t="shared" si="186"/>
        <v>-8.5001656849933624</v>
      </c>
      <c r="R285" s="276">
        <f>IF(H285&gt;0, rate1(1,$L$52,$L$51,$L$54,L285,$L$53,$L$50,P285),"")</f>
        <v>2204.8013508363106</v>
      </c>
      <c r="S285" s="322">
        <f t="shared" si="187"/>
        <v>-11.659151610423478</v>
      </c>
      <c r="T285" s="322">
        <f t="shared" si="188"/>
        <v>-3.3150383264259828E-3</v>
      </c>
      <c r="U285" s="327">
        <f t="shared" si="189"/>
        <v>6.2448339031273914</v>
      </c>
      <c r="V285" s="335">
        <f t="shared" si="190"/>
        <v>6.2448339031273914</v>
      </c>
      <c r="W285" s="327">
        <f t="shared" si="191"/>
        <v>1.1486282114159252E-3</v>
      </c>
      <c r="X285" s="327">
        <f t="shared" si="192"/>
        <v>1.6085354741417177</v>
      </c>
      <c r="Y285" s="327">
        <f t="shared" si="193"/>
        <v>150.02683535189621</v>
      </c>
      <c r="Z285" s="107">
        <f>IF(H285&gt;0, rate1(1,$L$52,$L$51,$L$54,U285,$L$53,$L$50,Y285),"")</f>
        <v>2205.9461817928864</v>
      </c>
      <c r="AA285" s="335">
        <f t="shared" si="194"/>
        <v>2.2051836068199626</v>
      </c>
      <c r="AB285" s="335">
        <f t="shared" si="195"/>
        <v>-9.5307321217779728E-4</v>
      </c>
      <c r="AC285" s="327">
        <f t="shared" si="196"/>
        <v>-9.5307321217779728E-4</v>
      </c>
      <c r="AD285" s="327">
        <f t="shared" si="197"/>
        <v>20.98474675864562</v>
      </c>
      <c r="AE285" s="327">
        <f t="shared" si="198"/>
        <v>28532.319022972813</v>
      </c>
      <c r="AF285" s="327">
        <f t="shared" si="199"/>
        <v>1476.5861129885407</v>
      </c>
      <c r="AG285" s="327">
        <f t="shared" si="200"/>
        <v>1469.8922336821931</v>
      </c>
      <c r="AH285" s="327">
        <f t="shared" si="201"/>
        <v>6.2253502677402031</v>
      </c>
      <c r="AI285" s="327">
        <f t="shared" si="202"/>
        <v>-0.43227169278369859</v>
      </c>
      <c r="AJ285" s="327">
        <f t="shared" si="203"/>
        <v>3.4060661638935512</v>
      </c>
      <c r="AK285" s="336">
        <f t="shared" si="204"/>
        <v>30.483403864089194</v>
      </c>
      <c r="AL285" s="42">
        <f t="shared" si="205"/>
        <v>22.660675813239273</v>
      </c>
    </row>
    <row r="286" spans="1:38" x14ac:dyDescent="0.25">
      <c r="A286" s="115"/>
      <c r="B286" s="327">
        <f t="shared" si="172"/>
        <v>1476.5861129885407</v>
      </c>
      <c r="C286" s="327">
        <f t="shared" si="173"/>
        <v>1469.8922336821931</v>
      </c>
      <c r="D286" s="327">
        <f t="shared" si="174"/>
        <v>6.2253502677402031</v>
      </c>
      <c r="E286" s="327">
        <f t="shared" si="175"/>
        <v>73.123517860217262</v>
      </c>
      <c r="F286" s="327">
        <f t="shared" si="176"/>
        <v>73.176546682923714</v>
      </c>
      <c r="G286" s="327">
        <f t="shared" si="177"/>
        <v>1901.3337264450242</v>
      </c>
      <c r="H286" s="405">
        <f t="shared" si="178"/>
        <v>0.08</v>
      </c>
      <c r="I286" s="327">
        <f t="shared" si="179"/>
        <v>4.0163275838085157</v>
      </c>
      <c r="J286" s="327">
        <f t="shared" si="138"/>
        <v>1848</v>
      </c>
      <c r="K286" s="334">
        <f t="shared" si="180"/>
        <v>1</v>
      </c>
      <c r="L286" s="322">
        <f t="shared" si="181"/>
        <v>6.3053502677402031</v>
      </c>
      <c r="M286" s="322">
        <f t="shared" si="182"/>
        <v>6.2653502677402031</v>
      </c>
      <c r="N286" s="327">
        <f t="shared" si="183"/>
        <v>0.17375073749082226</v>
      </c>
      <c r="O286" s="327">
        <f t="shared" si="184"/>
        <v>3.3066709121516366E-4</v>
      </c>
      <c r="P286" s="331">
        <f t="shared" si="185"/>
        <v>151.32884046682773</v>
      </c>
      <c r="Q286" s="327">
        <f t="shared" si="186"/>
        <v>15.939081688544093</v>
      </c>
      <c r="R286" s="276">
        <f>IF(H286&gt;0, rate1(1,$L$52,$L$51,$L$54,L286,$L$53,$L$50,P286),"")</f>
        <v>2209.0202204654347</v>
      </c>
      <c r="S286" s="322">
        <f t="shared" si="187"/>
        <v>21.82089854802684</v>
      </c>
      <c r="T286" s="322">
        <f t="shared" si="188"/>
        <v>-8.3450162868829846E-3</v>
      </c>
      <c r="U286" s="327">
        <f t="shared" si="189"/>
        <v>6.2253502677402031</v>
      </c>
      <c r="V286" s="335">
        <f t="shared" si="190"/>
        <v>6.2253502677402031</v>
      </c>
      <c r="W286" s="327">
        <f t="shared" si="191"/>
        <v>1.1414720429421266E-3</v>
      </c>
      <c r="X286" s="327">
        <f t="shared" si="192"/>
        <v>-18.207438073058938</v>
      </c>
      <c r="Y286" s="327">
        <f t="shared" si="193"/>
        <v>149.40274512451981</v>
      </c>
      <c r="Z286" s="107">
        <f>IF(H286&gt;0, rate1(1,$L$52,$L$51,$L$54,U286,$L$53,$L$50,Y286),"")</f>
        <v>2204.4567896968219</v>
      </c>
      <c r="AA286" s="335">
        <f t="shared" si="194"/>
        <v>-24.977920326934179</v>
      </c>
      <c r="AB286" s="335">
        <f t="shared" si="195"/>
        <v>4.394008560256598E-5</v>
      </c>
      <c r="AC286" s="327">
        <f t="shared" si="196"/>
        <v>4.394008560256598E-5</v>
      </c>
      <c r="AD286" s="327">
        <f t="shared" si="197"/>
        <v>1820.660995601889</v>
      </c>
      <c r="AE286" s="327">
        <f t="shared" si="198"/>
        <v>-3959103.8897081022</v>
      </c>
      <c r="AF286" s="327">
        <f t="shared" si="199"/>
        <v>1476.7598197859459</v>
      </c>
      <c r="AG286" s="327">
        <f t="shared" si="200"/>
        <v>1469.8921897421076</v>
      </c>
      <c r="AH286" s="327">
        <f t="shared" si="201"/>
        <v>6.3056273186590444</v>
      </c>
      <c r="AI286" s="327">
        <f t="shared" si="202"/>
        <v>1.9891210227721643E-2</v>
      </c>
      <c r="AJ286" s="327">
        <f t="shared" si="203"/>
        <v>3.4060716892297256</v>
      </c>
      <c r="AK286" s="336">
        <f t="shared" si="204"/>
        <v>30.482611858418903</v>
      </c>
      <c r="AL286" s="42">
        <f t="shared" si="205"/>
        <v>22.659876975151008</v>
      </c>
    </row>
    <row r="287" spans="1:38" x14ac:dyDescent="0.25">
      <c r="A287" s="115"/>
      <c r="B287" s="327">
        <f t="shared" si="172"/>
        <v>1476.7598197859459</v>
      </c>
      <c r="C287" s="327">
        <f t="shared" si="173"/>
        <v>1469.8921897421076</v>
      </c>
      <c r="D287" s="327">
        <f t="shared" si="174"/>
        <v>6.3056273186590444</v>
      </c>
      <c r="E287" s="327">
        <f t="shared" si="175"/>
        <v>73.554695039455808</v>
      </c>
      <c r="F287" s="327">
        <f t="shared" si="176"/>
        <v>73.339106449836535</v>
      </c>
      <c r="G287" s="327">
        <f t="shared" si="177"/>
        <v>1887.9529868617378</v>
      </c>
      <c r="H287" s="405">
        <f t="shared" si="178"/>
        <v>0.02</v>
      </c>
      <c r="I287" s="327">
        <f t="shared" si="179"/>
        <v>4.1205780263029732</v>
      </c>
      <c r="J287" s="327">
        <f t="shared" si="138"/>
        <v>1848</v>
      </c>
      <c r="K287" s="334">
        <f t="shared" si="180"/>
        <v>-1</v>
      </c>
      <c r="L287" s="322">
        <f t="shared" si="181"/>
        <v>6.2856273186590448</v>
      </c>
      <c r="M287" s="322">
        <f t="shared" si="182"/>
        <v>6.2956273186590446</v>
      </c>
      <c r="N287" s="327">
        <f t="shared" si="183"/>
        <v>-4.2363152910574797E-2</v>
      </c>
      <c r="O287" s="327">
        <f t="shared" si="184"/>
        <v>3.3066709121516366E-4</v>
      </c>
      <c r="P287" s="331">
        <f t="shared" si="185"/>
        <v>151.49665859314766</v>
      </c>
      <c r="Q287" s="327">
        <f t="shared" si="186"/>
        <v>54.243043043524949</v>
      </c>
      <c r="R287" s="276">
        <f>IF(H287&gt;0, rate1(1,$L$52,$L$51,$L$54,L287,$L$53,$L$50,P287),"")</f>
        <v>2209.4132122146343</v>
      </c>
      <c r="S287" s="322">
        <f t="shared" si="187"/>
        <v>74.246523599522433</v>
      </c>
      <c r="T287" s="322">
        <f t="shared" si="188"/>
        <v>5.7836400731038932E-4</v>
      </c>
      <c r="U287" s="327">
        <f t="shared" si="189"/>
        <v>6.3056273186590444</v>
      </c>
      <c r="V287" s="335">
        <f t="shared" si="190"/>
        <v>6.3056273186590444</v>
      </c>
      <c r="W287" s="327">
        <f t="shared" si="191"/>
        <v>1.1711008426580349E-3</v>
      </c>
      <c r="X287" s="327">
        <f t="shared" si="192"/>
        <v>57.719961481115661</v>
      </c>
      <c r="Y287" s="327">
        <f t="shared" si="193"/>
        <v>151.97831663887615</v>
      </c>
      <c r="Z287" s="107">
        <f>IF(H287&gt;0, rate1(1,$L$52,$L$51,$L$54,U287,$L$53,$L$50,Y287),"")</f>
        <v>2210.5370964375979</v>
      </c>
      <c r="AA287" s="335">
        <f t="shared" si="194"/>
        <v>78.965474630631874</v>
      </c>
      <c r="AB287" s="335">
        <f t="shared" si="195"/>
        <v>-1.5020762051487863E-5</v>
      </c>
      <c r="AC287" s="327">
        <f t="shared" si="196"/>
        <v>5.7836400731038932E-4</v>
      </c>
      <c r="AD287" s="327">
        <f t="shared" si="197"/>
        <v>-34.580298475016697</v>
      </c>
      <c r="AE287" s="327">
        <f t="shared" si="198"/>
        <v>-5962491.0560773294</v>
      </c>
      <c r="AF287" s="327">
        <f t="shared" si="199"/>
        <v>1476.716878269028</v>
      </c>
      <c r="AG287" s="327">
        <f t="shared" si="200"/>
        <v>1469.8916113781004</v>
      </c>
      <c r="AH287" s="327">
        <f t="shared" si="201"/>
        <v>6.2861490217903606</v>
      </c>
      <c r="AI287" s="327">
        <f t="shared" si="202"/>
        <v>0.26177267525736331</v>
      </c>
      <c r="AJ287" s="327">
        <f t="shared" si="203"/>
        <v>3.4061444038617417</v>
      </c>
      <c r="AK287" s="336">
        <f t="shared" si="204"/>
        <v>30.482649678247768</v>
      </c>
      <c r="AL287" s="42">
        <f t="shared" si="205"/>
        <v>22.659913734107509</v>
      </c>
    </row>
    <row r="288" spans="1:38" x14ac:dyDescent="0.25">
      <c r="A288" s="115"/>
      <c r="B288" s="327">
        <f t="shared" si="172"/>
        <v>1476.716878269028</v>
      </c>
      <c r="C288" s="327">
        <f t="shared" si="173"/>
        <v>1469.8916113781004</v>
      </c>
      <c r="D288" s="327">
        <f t="shared" si="174"/>
        <v>6.2861490217903606</v>
      </c>
      <c r="E288" s="327">
        <f t="shared" si="175"/>
        <v>73.450765450830289</v>
      </c>
      <c r="F288" s="327">
        <f t="shared" si="176"/>
        <v>73.502730245143056</v>
      </c>
      <c r="G288" s="327">
        <f t="shared" si="177"/>
        <v>1874.6288098050438</v>
      </c>
      <c r="H288" s="405">
        <f t="shared" si="178"/>
        <v>0.02</v>
      </c>
      <c r="I288" s="327">
        <f t="shared" si="179"/>
        <v>4.0951601345565907</v>
      </c>
      <c r="J288" s="327">
        <f t="shared" si="138"/>
        <v>1848</v>
      </c>
      <c r="K288" s="334">
        <f t="shared" si="180"/>
        <v>-1</v>
      </c>
      <c r="L288" s="322">
        <f t="shared" si="181"/>
        <v>6.266149021790361</v>
      </c>
      <c r="M288" s="322">
        <f t="shared" si="182"/>
        <v>6.2761490217903608</v>
      </c>
      <c r="N288" s="327">
        <f t="shared" si="183"/>
        <v>-4.2235791369867215E-2</v>
      </c>
      <c r="O288" s="327">
        <f t="shared" si="184"/>
        <v>3.3066709121516366E-4</v>
      </c>
      <c r="P288" s="331">
        <f t="shared" si="185"/>
        <v>150.87121264280114</v>
      </c>
      <c r="Q288" s="327">
        <f t="shared" si="186"/>
        <v>33.978417000882928</v>
      </c>
      <c r="R288" s="276">
        <f>IF(H288&gt;0, rate1(1,$L$52,$L$51,$L$54,L288,$L$53,$L$50,P288),"")</f>
        <v>2207.9448330968326</v>
      </c>
      <c r="S288" s="322">
        <f t="shared" si="187"/>
        <v>46.539739583385156</v>
      </c>
      <c r="T288" s="322">
        <f t="shared" si="188"/>
        <v>9.2744911930231228E-4</v>
      </c>
      <c r="U288" s="327">
        <f t="shared" si="189"/>
        <v>6.2861490217903606</v>
      </c>
      <c r="V288" s="335">
        <f t="shared" si="190"/>
        <v>6.2861490217903606</v>
      </c>
      <c r="W288" s="327">
        <f t="shared" si="191"/>
        <v>1.1638768769302033E-3</v>
      </c>
      <c r="X288" s="327">
        <f t="shared" si="192"/>
        <v>44.326449836364873</v>
      </c>
      <c r="Y288" s="327">
        <f t="shared" si="193"/>
        <v>151.35237204872155</v>
      </c>
      <c r="Z288" s="107">
        <f>IF(H288&gt;0, rate1(1,$L$52,$L$51,$L$54,U288,$L$53,$L$50,Y288),"")</f>
        <v>2209.0753701581693</v>
      </c>
      <c r="AA288" s="335">
        <f t="shared" si="194"/>
        <v>60.682217237951015</v>
      </c>
      <c r="AB288" s="335">
        <f t="shared" si="195"/>
        <v>-1.950123388160773E-5</v>
      </c>
      <c r="AC288" s="327">
        <f t="shared" si="196"/>
        <v>9.2744911930231228E-4</v>
      </c>
      <c r="AD288" s="327">
        <f t="shared" si="197"/>
        <v>-21.564525302525819</v>
      </c>
      <c r="AE288" s="327">
        <f t="shared" si="198"/>
        <v>17287.368455566084</v>
      </c>
      <c r="AF288" s="327">
        <f t="shared" si="199"/>
        <v>1476.6737150285389</v>
      </c>
      <c r="AG288" s="327">
        <f t="shared" si="200"/>
        <v>1469.8906839289812</v>
      </c>
      <c r="AH288" s="327">
        <f t="shared" si="201"/>
        <v>6.2666690147809643</v>
      </c>
      <c r="AI288" s="327">
        <f t="shared" si="202"/>
        <v>0.42005085697792782</v>
      </c>
      <c r="AJ288" s="327">
        <f t="shared" si="203"/>
        <v>3.4062610846553465</v>
      </c>
      <c r="AK288" s="336">
        <f t="shared" si="204"/>
        <v>30.483143892751897</v>
      </c>
      <c r="AL288" s="42">
        <f t="shared" si="205"/>
        <v>22.660397490011384</v>
      </c>
    </row>
    <row r="289" spans="1:38" x14ac:dyDescent="0.25">
      <c r="A289" s="115"/>
      <c r="B289" s="327">
        <f t="shared" si="172"/>
        <v>1476.6737150285389</v>
      </c>
      <c r="C289" s="327">
        <f t="shared" si="173"/>
        <v>1469.8906839289812</v>
      </c>
      <c r="D289" s="327">
        <f t="shared" si="174"/>
        <v>6.2666690147809643</v>
      </c>
      <c r="E289" s="327">
        <f t="shared" si="175"/>
        <v>73.347861569643243</v>
      </c>
      <c r="F289" s="327">
        <f t="shared" si="176"/>
        <v>73.399313510236766</v>
      </c>
      <c r="G289" s="327">
        <f t="shared" si="177"/>
        <v>1854.5866207268189</v>
      </c>
      <c r="H289" s="405">
        <f t="shared" si="178"/>
        <v>0.02</v>
      </c>
      <c r="I289" s="327">
        <f t="shared" si="179"/>
        <v>4.0698186597346648</v>
      </c>
      <c r="J289" s="327">
        <f t="shared" si="138"/>
        <v>1848</v>
      </c>
      <c r="K289" s="334">
        <f t="shared" si="180"/>
        <v>-1</v>
      </c>
      <c r="L289" s="322">
        <f t="shared" si="181"/>
        <v>6.2466690147809647</v>
      </c>
      <c r="M289" s="322">
        <f t="shared" si="182"/>
        <v>6.2566690147809645</v>
      </c>
      <c r="N289" s="327">
        <f t="shared" si="183"/>
        <v>-4.210839629462626E-2</v>
      </c>
      <c r="O289" s="327">
        <f t="shared" si="184"/>
        <v>3.3066709121516366E-4</v>
      </c>
      <c r="P289" s="331">
        <f t="shared" si="185"/>
        <v>150.24636037529433</v>
      </c>
      <c r="Q289" s="327">
        <f t="shared" si="186"/>
        <v>13.896651330251871</v>
      </c>
      <c r="R289" s="276">
        <f>IF(H289&gt;0, rate1(1,$L$52,$L$51,$L$54,L289,$L$53,$L$50,P289),"")</f>
        <v>2206.4676121099492</v>
      </c>
      <c r="S289" s="322">
        <f t="shared" si="187"/>
        <v>19.046782789127839</v>
      </c>
      <c r="T289" s="322">
        <f t="shared" si="188"/>
        <v>2.3332910240374907E-3</v>
      </c>
      <c r="U289" s="327">
        <f t="shared" si="189"/>
        <v>6.2666690147809643</v>
      </c>
      <c r="V289" s="335">
        <f t="shared" si="190"/>
        <v>6.2666690147809643</v>
      </c>
      <c r="W289" s="327">
        <f t="shared" si="191"/>
        <v>1.1566746294917607E-3</v>
      </c>
      <c r="X289" s="327">
        <f t="shared" si="192"/>
        <v>24.150858455865773</v>
      </c>
      <c r="Y289" s="327">
        <f t="shared" si="193"/>
        <v>150.72702006494603</v>
      </c>
      <c r="Z289" s="107">
        <f>IF(H289&gt;0, rate1(1,$L$52,$L$51,$L$54,U289,$L$53,$L$50,Y289),"")</f>
        <v>2207.6048575693303</v>
      </c>
      <c r="AA289" s="335">
        <f t="shared" si="194"/>
        <v>33.084170976824907</v>
      </c>
      <c r="AB289" s="335">
        <f t="shared" si="195"/>
        <v>-3.6051255004446017E-5</v>
      </c>
      <c r="AC289" s="327">
        <f t="shared" si="196"/>
        <v>2.3332910240374907E-3</v>
      </c>
      <c r="AD289" s="327">
        <f t="shared" si="197"/>
        <v>-8.571583996149915</v>
      </c>
      <c r="AE289" s="327">
        <f t="shared" si="198"/>
        <v>7969.3202985920398</v>
      </c>
      <c r="AF289" s="327">
        <f t="shared" si="199"/>
        <v>1476.6292733412204</v>
      </c>
      <c r="AG289" s="327">
        <f t="shared" si="200"/>
        <v>1469.888350637957</v>
      </c>
      <c r="AH289" s="327">
        <f t="shared" si="201"/>
        <v>6.2471872971723688</v>
      </c>
      <c r="AI289" s="327">
        <f t="shared" si="202"/>
        <v>1.0574780301471391</v>
      </c>
      <c r="AJ289" s="327">
        <f t="shared" si="203"/>
        <v>3.4065548285526095</v>
      </c>
      <c r="AK289" s="336">
        <f t="shared" si="204"/>
        <v>30.483931332189972</v>
      </c>
      <c r="AL289" s="42">
        <f t="shared" si="205"/>
        <v>22.661173743995079</v>
      </c>
    </row>
    <row r="290" spans="1:38" x14ac:dyDescent="0.25">
      <c r="A290" s="115"/>
      <c r="B290" s="327">
        <f t="shared" si="172"/>
        <v>1476.6292733412204</v>
      </c>
      <c r="C290" s="327">
        <f t="shared" si="173"/>
        <v>1469.888350637957</v>
      </c>
      <c r="D290" s="327">
        <f t="shared" si="174"/>
        <v>6.2471872971723688</v>
      </c>
      <c r="E290" s="327">
        <f t="shared" si="175"/>
        <v>73.248132231550272</v>
      </c>
      <c r="F290" s="327">
        <f t="shared" si="176"/>
        <v>73.297996900596758</v>
      </c>
      <c r="G290" s="327">
        <f t="shared" si="177"/>
        <v>1834.7525949899523</v>
      </c>
      <c r="H290" s="405">
        <f t="shared" si="178"/>
        <v>0.02</v>
      </c>
      <c r="I290" s="327">
        <f t="shared" si="179"/>
        <v>4.0445536219579932</v>
      </c>
      <c r="J290" s="327">
        <f t="shared" si="138"/>
        <v>1848</v>
      </c>
      <c r="K290" s="334">
        <f t="shared" si="180"/>
        <v>-1</v>
      </c>
      <c r="L290" s="322">
        <f t="shared" si="181"/>
        <v>6.2271872971723692</v>
      </c>
      <c r="M290" s="322">
        <f t="shared" si="182"/>
        <v>6.237187297172369</v>
      </c>
      <c r="N290" s="327">
        <f t="shared" si="183"/>
        <v>-4.1980967675973702E-2</v>
      </c>
      <c r="O290" s="327">
        <f t="shared" si="184"/>
        <v>3.3066709121516366E-4</v>
      </c>
      <c r="P290" s="331">
        <f t="shared" si="185"/>
        <v>149.62210329230999</v>
      </c>
      <c r="Q290" s="327">
        <f t="shared" si="186"/>
        <v>-5.94970601276259</v>
      </c>
      <c r="R290" s="276">
        <f>IF(H290&gt;0, rate1(1,$L$52,$L$51,$L$54,L290,$L$53,$L$50,P290),"")</f>
        <v>2204.9814747565383</v>
      </c>
      <c r="S290" s="322">
        <f t="shared" si="187"/>
        <v>-8.1601771457137335</v>
      </c>
      <c r="T290" s="322">
        <f t="shared" si="188"/>
        <v>-4.58298644318441E-3</v>
      </c>
      <c r="U290" s="327">
        <f t="shared" si="189"/>
        <v>6.2471872971723688</v>
      </c>
      <c r="V290" s="335">
        <f t="shared" si="190"/>
        <v>6.2471872971723688</v>
      </c>
      <c r="W290" s="327">
        <f t="shared" si="191"/>
        <v>1.1494941060714581E-3</v>
      </c>
      <c r="X290" s="327">
        <f t="shared" si="192"/>
        <v>4.1845536226428521</v>
      </c>
      <c r="Y290" s="327">
        <f t="shared" si="193"/>
        <v>150.10226218358147</v>
      </c>
      <c r="Z290" s="107">
        <f>IF(H290&gt;0, rate1(1,$L$52,$L$51,$L$54,U290,$L$53,$L$50,Y290),"")</f>
        <v>2206.125484765254</v>
      </c>
      <c r="AA290" s="335">
        <f t="shared" si="194"/>
        <v>5.736248417439711</v>
      </c>
      <c r="AB290" s="335">
        <f t="shared" si="195"/>
        <v>-2.4270139670858813E-4</v>
      </c>
      <c r="AC290" s="327">
        <f t="shared" si="196"/>
        <v>-2.4270139670858813E-4</v>
      </c>
      <c r="AD290" s="327">
        <f t="shared" si="197"/>
        <v>82.405788640821157</v>
      </c>
      <c r="AE290" s="327">
        <f t="shared" si="198"/>
        <v>87035.132526904112</v>
      </c>
      <c r="AF290" s="327">
        <f t="shared" si="199"/>
        <v>1476.5875350749411</v>
      </c>
      <c r="AG290" s="327">
        <f t="shared" si="200"/>
        <v>1469.8885933393537</v>
      </c>
      <c r="AH290" s="327">
        <f t="shared" si="201"/>
        <v>6.2277038685028483</v>
      </c>
      <c r="AI290" s="327">
        <f t="shared" si="202"/>
        <v>-0.11006958538524042</v>
      </c>
      <c r="AJ290" s="327">
        <f t="shared" si="203"/>
        <v>3.4065242536677802</v>
      </c>
      <c r="AK290" s="336">
        <f t="shared" si="204"/>
        <v>30.485892516796394</v>
      </c>
      <c r="AL290" s="42">
        <f t="shared" si="205"/>
        <v>22.663127963394789</v>
      </c>
    </row>
    <row r="291" spans="1:38" x14ac:dyDescent="0.25">
      <c r="A291" s="115"/>
      <c r="B291" s="327">
        <f t="shared" si="172"/>
        <v>1476.5875350749411</v>
      </c>
      <c r="C291" s="327">
        <f t="shared" si="173"/>
        <v>1469.8885933393537</v>
      </c>
      <c r="D291" s="327">
        <f t="shared" si="174"/>
        <v>6.2277038685028483</v>
      </c>
      <c r="E291" s="327">
        <f t="shared" si="175"/>
        <v>73.143480191727093</v>
      </c>
      <c r="F291" s="327">
        <f t="shared" si="176"/>
        <v>73.195806211638683</v>
      </c>
      <c r="G291" s="327">
        <f t="shared" si="177"/>
        <v>1903.964807637921</v>
      </c>
      <c r="H291" s="405">
        <f t="shared" si="178"/>
        <v>0.08</v>
      </c>
      <c r="I291" s="327">
        <f t="shared" si="179"/>
        <v>4.0193650413524207</v>
      </c>
      <c r="J291" s="327">
        <f t="shared" si="138"/>
        <v>1848</v>
      </c>
      <c r="K291" s="334">
        <f t="shared" si="180"/>
        <v>1</v>
      </c>
      <c r="L291" s="322">
        <f t="shared" si="181"/>
        <v>6.3077038685028484</v>
      </c>
      <c r="M291" s="322">
        <f t="shared" si="182"/>
        <v>6.2677038685028483</v>
      </c>
      <c r="N291" s="327">
        <f t="shared" si="183"/>
        <v>0.17381664968167598</v>
      </c>
      <c r="O291" s="327">
        <f t="shared" si="184"/>
        <v>3.3066709121516366E-4</v>
      </c>
      <c r="P291" s="331">
        <f t="shared" si="185"/>
        <v>151.40443610524795</v>
      </c>
      <c r="Q291" s="327">
        <f t="shared" si="186"/>
        <v>18.549875725591392</v>
      </c>
      <c r="R291" s="276">
        <f>IF(H291&gt;0, rate1(1,$L$52,$L$51,$L$54,L291,$L$53,$L$50,P291),"")</f>
        <v>2209.1973387194726</v>
      </c>
      <c r="S291" s="322">
        <f t="shared" si="187"/>
        <v>25.393088016132896</v>
      </c>
      <c r="T291" s="322">
        <f t="shared" si="188"/>
        <v>-7.1256517242392018E-3</v>
      </c>
      <c r="U291" s="327">
        <f t="shared" si="189"/>
        <v>6.2277038685028483</v>
      </c>
      <c r="V291" s="335">
        <f t="shared" si="190"/>
        <v>6.2277038685028483</v>
      </c>
      <c r="W291" s="327">
        <f t="shared" si="191"/>
        <v>1.142335312382059E-3</v>
      </c>
      <c r="X291" s="327">
        <f t="shared" si="192"/>
        <v>-15.649165319269969</v>
      </c>
      <c r="Y291" s="327">
        <f t="shared" si="193"/>
        <v>149.47809990829882</v>
      </c>
      <c r="Z291" s="107">
        <f>IF(H291&gt;0, rate1(1,$L$52,$L$51,$L$54,U291,$L$53,$L$50,Y291),"")</f>
        <v>2204.6371770492551</v>
      </c>
      <c r="AA291" s="335">
        <f t="shared" si="194"/>
        <v>-21.466590750691029</v>
      </c>
      <c r="AB291" s="335">
        <f t="shared" si="195"/>
        <v>5.0845957228598332E-5</v>
      </c>
      <c r="AC291" s="327">
        <f t="shared" si="196"/>
        <v>5.0845957228598332E-5</v>
      </c>
      <c r="AD291" s="327">
        <f t="shared" si="197"/>
        <v>1573.3797603677322</v>
      </c>
      <c r="AE291" s="327">
        <f t="shared" si="198"/>
        <v>-15542681.258014757</v>
      </c>
      <c r="AF291" s="327">
        <f t="shared" si="199"/>
        <v>1476.7613008786655</v>
      </c>
      <c r="AG291" s="327">
        <f t="shared" si="200"/>
        <v>1469.8885424933965</v>
      </c>
      <c r="AH291" s="327">
        <f t="shared" si="201"/>
        <v>6.3079812147595415</v>
      </c>
      <c r="AI291" s="327">
        <f t="shared" si="202"/>
        <v>2.3015579612308611E-2</v>
      </c>
      <c r="AJ291" s="327">
        <f t="shared" si="203"/>
        <v>3.406530646884339</v>
      </c>
      <c r="AK291" s="336">
        <f t="shared" si="204"/>
        <v>30.485690566338977</v>
      </c>
      <c r="AL291" s="42">
        <f t="shared" si="205"/>
        <v>22.662924554800998</v>
      </c>
    </row>
    <row r="292" spans="1:38" x14ac:dyDescent="0.25">
      <c r="A292" s="115"/>
      <c r="B292" s="327">
        <f t="shared" si="172"/>
        <v>1476.7613008786655</v>
      </c>
      <c r="C292" s="327">
        <f t="shared" si="173"/>
        <v>1469.8885424933965</v>
      </c>
      <c r="D292" s="327">
        <f t="shared" si="174"/>
        <v>6.3079812147595415</v>
      </c>
      <c r="E292" s="327">
        <f t="shared" si="175"/>
        <v>73.574838102534656</v>
      </c>
      <c r="F292" s="327">
        <f t="shared" si="176"/>
        <v>73.359159147130867</v>
      </c>
      <c r="G292" s="327">
        <f t="shared" si="177"/>
        <v>1890.5916348209482</v>
      </c>
      <c r="H292" s="405">
        <f t="shared" si="178"/>
        <v>0.02</v>
      </c>
      <c r="I292" s="327">
        <f t="shared" si="179"/>
        <v>4.1236550311613884</v>
      </c>
      <c r="J292" s="327">
        <f t="shared" si="138"/>
        <v>1848</v>
      </c>
      <c r="K292" s="334">
        <f t="shared" si="180"/>
        <v>-1</v>
      </c>
      <c r="L292" s="322">
        <f t="shared" si="181"/>
        <v>6.287981214759542</v>
      </c>
      <c r="M292" s="322">
        <f t="shared" si="182"/>
        <v>6.2979812147595418</v>
      </c>
      <c r="N292" s="327">
        <f t="shared" si="183"/>
        <v>-4.2378542672476982E-2</v>
      </c>
      <c r="O292" s="327">
        <f t="shared" si="184"/>
        <v>3.3066709121516366E-4</v>
      </c>
      <c r="P292" s="331">
        <f t="shared" si="185"/>
        <v>151.57228579221263</v>
      </c>
      <c r="Q292" s="327">
        <f t="shared" si="186"/>
        <v>56.899068271804026</v>
      </c>
      <c r="R292" s="276">
        <f>IF(H292&gt;0, rate1(1,$L$52,$L$51,$L$54,L292,$L$53,$L$50,P292),"")</f>
        <v>2209.5900750179121</v>
      </c>
      <c r="S292" s="322">
        <f t="shared" si="187"/>
        <v>77.875790715286655</v>
      </c>
      <c r="T292" s="322">
        <f t="shared" si="188"/>
        <v>5.512599256302682E-4</v>
      </c>
      <c r="U292" s="327">
        <f t="shared" si="189"/>
        <v>6.3079812147595415</v>
      </c>
      <c r="V292" s="335">
        <f t="shared" si="190"/>
        <v>6.3079812147595415</v>
      </c>
      <c r="W292" s="327">
        <f t="shared" si="191"/>
        <v>1.1719753517596132E-3</v>
      </c>
      <c r="X292" s="327">
        <f t="shared" si="192"/>
        <v>60.37663298983307</v>
      </c>
      <c r="Y292" s="327">
        <f t="shared" si="193"/>
        <v>152.05400402745192</v>
      </c>
      <c r="Z292" s="107">
        <f>IF(H292&gt;0, rate1(1,$L$52,$L$51,$L$54,U292,$L$53,$L$50,Y292),"")</f>
        <v>2210.7131589599257</v>
      </c>
      <c r="AA292" s="335">
        <f t="shared" si="194"/>
        <v>82.593433159921446</v>
      </c>
      <c r="AB292" s="335">
        <f t="shared" si="195"/>
        <v>-1.4363598960991942E-5</v>
      </c>
      <c r="AC292" s="327">
        <f t="shared" si="196"/>
        <v>5.512599256302682E-4</v>
      </c>
      <c r="AD292" s="327">
        <f t="shared" si="197"/>
        <v>-36.280525882837466</v>
      </c>
      <c r="AE292" s="327">
        <f t="shared" si="198"/>
        <v>-5346768.1750848256</v>
      </c>
      <c r="AF292" s="327">
        <f t="shared" si="199"/>
        <v>1476.7183710760673</v>
      </c>
      <c r="AG292" s="327">
        <f t="shared" si="200"/>
        <v>1469.8879912334708</v>
      </c>
      <c r="AH292" s="327">
        <f t="shared" si="201"/>
        <v>6.2885031245357581</v>
      </c>
      <c r="AI292" s="327">
        <f t="shared" si="202"/>
        <v>0.24948515648351627</v>
      </c>
      <c r="AJ292" s="327">
        <f t="shared" si="203"/>
        <v>3.4065999483166958</v>
      </c>
      <c r="AK292" s="336">
        <f t="shared" si="204"/>
        <v>30.485734387192586</v>
      </c>
      <c r="AL292" s="42">
        <f t="shared" si="205"/>
        <v>22.662967087592122</v>
      </c>
    </row>
    <row r="293" spans="1:38" x14ac:dyDescent="0.25">
      <c r="A293" s="115"/>
      <c r="B293" s="327">
        <f t="shared" si="172"/>
        <v>1476.7183710760673</v>
      </c>
      <c r="C293" s="327">
        <f t="shared" si="173"/>
        <v>1469.8879912334708</v>
      </c>
      <c r="D293" s="327">
        <f t="shared" si="174"/>
        <v>6.2885031245357581</v>
      </c>
      <c r="E293" s="327">
        <f t="shared" si="175"/>
        <v>73.470814441747336</v>
      </c>
      <c r="F293" s="327">
        <f t="shared" si="176"/>
        <v>73.522826272141003</v>
      </c>
      <c r="G293" s="327">
        <f t="shared" si="177"/>
        <v>1877.2555388017038</v>
      </c>
      <c r="H293" s="405">
        <f t="shared" si="178"/>
        <v>0.02</v>
      </c>
      <c r="I293" s="327">
        <f t="shared" si="179"/>
        <v>4.0982279055579509</v>
      </c>
      <c r="J293" s="327">
        <f t="shared" si="138"/>
        <v>1848</v>
      </c>
      <c r="K293" s="334">
        <f t="shared" si="180"/>
        <v>-1</v>
      </c>
      <c r="L293" s="322">
        <f t="shared" si="181"/>
        <v>6.2685031245357585</v>
      </c>
      <c r="M293" s="322">
        <f t="shared" si="182"/>
        <v>6.2785031245357583</v>
      </c>
      <c r="N293" s="327">
        <f t="shared" si="183"/>
        <v>-4.2251185183912909E-2</v>
      </c>
      <c r="O293" s="327">
        <f t="shared" si="184"/>
        <v>3.3066709121516366E-4</v>
      </c>
      <c r="P293" s="331">
        <f t="shared" si="185"/>
        <v>150.94676819481833</v>
      </c>
      <c r="Q293" s="327">
        <f t="shared" si="186"/>
        <v>36.611208860121451</v>
      </c>
      <c r="R293" s="276">
        <f>IF(H293&gt;0, rate1(1,$L$52,$L$51,$L$54,L293,$L$53,$L$50,P293),"")</f>
        <v>2208.1227594592983</v>
      </c>
      <c r="S293" s="322">
        <f t="shared" si="187"/>
        <v>50.141795334897537</v>
      </c>
      <c r="T293" s="322">
        <f t="shared" si="188"/>
        <v>8.5978106611641573E-4</v>
      </c>
      <c r="U293" s="327">
        <f t="shared" si="189"/>
        <v>6.2885031245357581</v>
      </c>
      <c r="V293" s="335">
        <f t="shared" si="190"/>
        <v>6.2885031245357581</v>
      </c>
      <c r="W293" s="327">
        <f t="shared" si="191"/>
        <v>1.1647487616937013E-3</v>
      </c>
      <c r="X293" s="327">
        <f t="shared" si="192"/>
        <v>46.971173935306297</v>
      </c>
      <c r="Y293" s="327">
        <f t="shared" si="193"/>
        <v>151.42798791996259</v>
      </c>
      <c r="Z293" s="107">
        <f>IF(H293&gt;0, rate1(1,$L$52,$L$51,$L$54,U293,$L$53,$L$50,Y293),"")</f>
        <v>2209.2524895648407</v>
      </c>
      <c r="AA293" s="335">
        <f t="shared" si="194"/>
        <v>64.297647944826565</v>
      </c>
      <c r="AB293" s="335">
        <f t="shared" si="195"/>
        <v>-1.8401138107200371E-5</v>
      </c>
      <c r="AC293" s="327">
        <f t="shared" si="196"/>
        <v>8.5978106611641573E-4</v>
      </c>
      <c r="AD293" s="327">
        <f t="shared" si="197"/>
        <v>-23.261735793204789</v>
      </c>
      <c r="AE293" s="327">
        <f t="shared" si="198"/>
        <v>18452.745406803697</v>
      </c>
      <c r="AF293" s="327">
        <f t="shared" si="199"/>
        <v>1476.6752601098174</v>
      </c>
      <c r="AG293" s="327">
        <f t="shared" si="200"/>
        <v>1469.8871314524047</v>
      </c>
      <c r="AH293" s="327">
        <f t="shared" si="201"/>
        <v>6.2690233242264313</v>
      </c>
      <c r="AI293" s="327">
        <f t="shared" si="202"/>
        <v>0.38937195064596397</v>
      </c>
      <c r="AJ293" s="327">
        <f t="shared" si="203"/>
        <v>3.406708107191875</v>
      </c>
      <c r="AK293" s="336">
        <f t="shared" si="204"/>
        <v>30.486206061742447</v>
      </c>
      <c r="AL293" s="42">
        <f t="shared" si="205"/>
        <v>22.663428136161304</v>
      </c>
    </row>
    <row r="294" spans="1:38" x14ac:dyDescent="0.25">
      <c r="A294" s="115"/>
      <c r="B294" s="327">
        <f t="shared" si="172"/>
        <v>1476.6752601098174</v>
      </c>
      <c r="C294" s="327">
        <f t="shared" si="173"/>
        <v>1469.8871314524047</v>
      </c>
      <c r="D294" s="327">
        <f t="shared" si="174"/>
        <v>6.2690233242264313</v>
      </c>
      <c r="E294" s="327">
        <f t="shared" si="175"/>
        <v>73.367733999749674</v>
      </c>
      <c r="F294" s="327">
        <f t="shared" si="176"/>
        <v>73.419274220748505</v>
      </c>
      <c r="G294" s="327">
        <f t="shared" si="177"/>
        <v>1857.1892682930541</v>
      </c>
      <c r="H294" s="405">
        <f t="shared" si="178"/>
        <v>0.02</v>
      </c>
      <c r="I294" s="327">
        <f t="shared" si="179"/>
        <v>4.072877194447619</v>
      </c>
      <c r="J294" s="327">
        <f t="shared" si="138"/>
        <v>1848</v>
      </c>
      <c r="K294" s="334">
        <f t="shared" si="180"/>
        <v>-1</v>
      </c>
      <c r="L294" s="322">
        <f t="shared" si="181"/>
        <v>6.2490233242264317</v>
      </c>
      <c r="M294" s="322">
        <f t="shared" si="182"/>
        <v>6.2590233242264315</v>
      </c>
      <c r="N294" s="327">
        <f t="shared" si="183"/>
        <v>-4.2123794161895489E-2</v>
      </c>
      <c r="O294" s="327">
        <f t="shared" si="184"/>
        <v>3.3066709121516366E-4</v>
      </c>
      <c r="P294" s="331">
        <f t="shared" si="185"/>
        <v>150.32184409929752</v>
      </c>
      <c r="Q294" s="327">
        <f t="shared" si="186"/>
        <v>16.504291194489952</v>
      </c>
      <c r="R294" s="276">
        <f>IF(H294&gt;0, rate1(1,$L$52,$L$51,$L$54,L294,$L$53,$L$50,P294),"")</f>
        <v>2206.6466109812563</v>
      </c>
      <c r="S294" s="322">
        <f t="shared" si="187"/>
        <v>22.618985124169768</v>
      </c>
      <c r="T294" s="322">
        <f t="shared" si="188"/>
        <v>1.9484630716916304E-3</v>
      </c>
      <c r="U294" s="327">
        <f t="shared" si="189"/>
        <v>6.2690233242264313</v>
      </c>
      <c r="V294" s="335">
        <f t="shared" si="190"/>
        <v>6.2690233242264313</v>
      </c>
      <c r="W294" s="327">
        <f t="shared" si="191"/>
        <v>1.1575438892297285E-3</v>
      </c>
      <c r="X294" s="327">
        <f t="shared" si="192"/>
        <v>26.771382020638384</v>
      </c>
      <c r="Y294" s="327">
        <f t="shared" si="193"/>
        <v>150.80256423856594</v>
      </c>
      <c r="Z294" s="107">
        <f>IF(H294&gt;0, rate1(1,$L$52,$L$51,$L$54,U294,$L$53,$L$50,Y294),"")</f>
        <v>2207.7830427390059</v>
      </c>
      <c r="AA294" s="335">
        <f t="shared" si="194"/>
        <v>36.671056563439549</v>
      </c>
      <c r="AB294" s="335">
        <f t="shared" si="195"/>
        <v>-3.24505075192007E-5</v>
      </c>
      <c r="AC294" s="327">
        <f t="shared" si="196"/>
        <v>1.9484630716916304E-3</v>
      </c>
      <c r="AD294" s="327">
        <f t="shared" si="197"/>
        <v>-10.264500410898863</v>
      </c>
      <c r="AE294" s="327">
        <f t="shared" si="198"/>
        <v>9256.4853655856441</v>
      </c>
      <c r="AF294" s="327">
        <f t="shared" si="199"/>
        <v>1476.6311878525837</v>
      </c>
      <c r="AG294" s="327">
        <f t="shared" si="200"/>
        <v>1469.8851829893331</v>
      </c>
      <c r="AH294" s="327">
        <f t="shared" si="201"/>
        <v>6.2495418133732983</v>
      </c>
      <c r="AI294" s="327">
        <f t="shared" si="202"/>
        <v>0.88299733269260705</v>
      </c>
      <c r="AJ294" s="327">
        <f t="shared" si="203"/>
        <v>3.4069533842287338</v>
      </c>
      <c r="AK294" s="336">
        <f t="shared" si="204"/>
        <v>30.486937012393451</v>
      </c>
      <c r="AL294" s="42">
        <f t="shared" si="205"/>
        <v>22.664147695526097</v>
      </c>
    </row>
    <row r="295" spans="1:38" x14ac:dyDescent="0.25">
      <c r="A295" s="115"/>
      <c r="B295" s="327">
        <f t="shared" si="172"/>
        <v>1476.6311878525837</v>
      </c>
      <c r="C295" s="327">
        <f t="shared" si="173"/>
        <v>1469.8851829893331</v>
      </c>
      <c r="D295" s="327">
        <f t="shared" si="174"/>
        <v>6.2495418133732983</v>
      </c>
      <c r="E295" s="327">
        <f t="shared" si="175"/>
        <v>73.267183179081528</v>
      </c>
      <c r="F295" s="327">
        <f t="shared" si="176"/>
        <v>73.317458589415594</v>
      </c>
      <c r="G295" s="327">
        <f t="shared" si="177"/>
        <v>1837.3222731768649</v>
      </c>
      <c r="H295" s="405">
        <f t="shared" si="178"/>
        <v>0.02</v>
      </c>
      <c r="I295" s="327">
        <f t="shared" si="179"/>
        <v>4.0476029179503712</v>
      </c>
      <c r="J295" s="327">
        <f t="shared" si="138"/>
        <v>1848</v>
      </c>
      <c r="K295" s="334">
        <f t="shared" si="180"/>
        <v>-1</v>
      </c>
      <c r="L295" s="322">
        <f t="shared" si="181"/>
        <v>6.2295418133732987</v>
      </c>
      <c r="M295" s="322">
        <f t="shared" si="182"/>
        <v>6.2395418133732985</v>
      </c>
      <c r="N295" s="327">
        <f t="shared" si="183"/>
        <v>-4.1996369597532279E-2</v>
      </c>
      <c r="O295" s="327">
        <f t="shared" si="184"/>
        <v>3.3066709121516366E-4</v>
      </c>
      <c r="P295" s="331">
        <f t="shared" si="185"/>
        <v>149.69751500640317</v>
      </c>
      <c r="Q295" s="327">
        <f t="shared" si="186"/>
        <v>-3.3831783221751266</v>
      </c>
      <c r="R295" s="276">
        <f>IF(H295&gt;0, rate1(1,$L$52,$L$51,$L$54,L295,$L$53,$L$50,P295),"")</f>
        <v>2205.1615551821301</v>
      </c>
      <c r="S295" s="322">
        <f t="shared" si="187"/>
        <v>-4.639738478430087</v>
      </c>
      <c r="T295" s="322">
        <f t="shared" si="188"/>
        <v>-7.4465101100259978E-3</v>
      </c>
      <c r="U295" s="327">
        <f t="shared" si="189"/>
        <v>6.2495418133732983</v>
      </c>
      <c r="V295" s="335">
        <f t="shared" si="190"/>
        <v>6.2495418133732983</v>
      </c>
      <c r="W295" s="327">
        <f t="shared" si="191"/>
        <v>1.1503607400982219E-3</v>
      </c>
      <c r="X295" s="327">
        <f t="shared" si="192"/>
        <v>6.7719030933094473</v>
      </c>
      <c r="Y295" s="327">
        <f t="shared" si="193"/>
        <v>150.17773447836964</v>
      </c>
      <c r="Z295" s="107">
        <f>IF(H295&gt;0, rate1(1,$L$52,$L$51,$L$54,U295,$L$53,$L$50,Y295),"")</f>
        <v>2206.3047446714786</v>
      </c>
      <c r="AA295" s="335">
        <f t="shared" si="194"/>
        <v>9.2822713637136314</v>
      </c>
      <c r="AB295" s="335">
        <f t="shared" si="195"/>
        <v>-1.388943551328436E-4</v>
      </c>
      <c r="AC295" s="327">
        <f t="shared" si="196"/>
        <v>-1.388943551328436E-4</v>
      </c>
      <c r="AD295" s="327">
        <f t="shared" si="197"/>
        <v>143.99433282131068</v>
      </c>
      <c r="AE295" s="327">
        <f t="shared" si="198"/>
        <v>170492.37403436092</v>
      </c>
      <c r="AF295" s="327">
        <f t="shared" si="199"/>
        <v>1476.5893303773414</v>
      </c>
      <c r="AG295" s="327">
        <f t="shared" si="200"/>
        <v>1469.8853218836882</v>
      </c>
      <c r="AH295" s="327">
        <f t="shared" si="201"/>
        <v>6.2300585915153919</v>
      </c>
      <c r="AI295" s="327">
        <f t="shared" si="202"/>
        <v>-6.298602241021381E-2</v>
      </c>
      <c r="AJ295" s="327">
        <f t="shared" si="203"/>
        <v>3.4069358881113976</v>
      </c>
      <c r="AK295" s="336">
        <f t="shared" si="204"/>
        <v>30.488576905563658</v>
      </c>
      <c r="AL295" s="42">
        <f t="shared" si="205"/>
        <v>22.665779474596913</v>
      </c>
    </row>
    <row r="296" spans="1:38" x14ac:dyDescent="0.25">
      <c r="A296" s="115"/>
      <c r="B296" s="327">
        <f t="shared" si="172"/>
        <v>1476.5893303773414</v>
      </c>
      <c r="C296" s="327">
        <f t="shared" si="173"/>
        <v>1469.8853218836882</v>
      </c>
      <c r="D296" s="327">
        <f t="shared" si="174"/>
        <v>6.2300585915153919</v>
      </c>
      <c r="E296" s="327">
        <f t="shared" si="175"/>
        <v>73.162703336614911</v>
      </c>
      <c r="F296" s="327">
        <f t="shared" si="176"/>
        <v>73.214943257848219</v>
      </c>
      <c r="G296" s="327">
        <f t="shared" si="177"/>
        <v>1906.5964289751469</v>
      </c>
      <c r="H296" s="405">
        <f t="shared" si="178"/>
        <v>0.08</v>
      </c>
      <c r="I296" s="327">
        <f t="shared" si="179"/>
        <v>4.0224050961919149</v>
      </c>
      <c r="J296" s="327">
        <f t="shared" si="138"/>
        <v>1848</v>
      </c>
      <c r="K296" s="334">
        <f t="shared" si="180"/>
        <v>1</v>
      </c>
      <c r="L296" s="322">
        <f t="shared" si="181"/>
        <v>6.3100585915153919</v>
      </c>
      <c r="M296" s="322">
        <f t="shared" si="182"/>
        <v>6.2700585915153919</v>
      </c>
      <c r="N296" s="327">
        <f t="shared" si="183"/>
        <v>0.17388259362750347</v>
      </c>
      <c r="O296" s="327">
        <f t="shared" si="184"/>
        <v>3.3066709121516366E-4</v>
      </c>
      <c r="P296" s="331">
        <f t="shared" si="185"/>
        <v>151.48007724849353</v>
      </c>
      <c r="Q296" s="327">
        <f t="shared" si="186"/>
        <v>21.145515804734032</v>
      </c>
      <c r="R296" s="276">
        <f>IF(H296&gt;0, rate1(1,$L$52,$L$51,$L$54,L296,$L$53,$L$50,P296),"")</f>
        <v>2209.3744150375765</v>
      </c>
      <c r="S296" s="322">
        <f t="shared" si="187"/>
        <v>28.943962569118735</v>
      </c>
      <c r="T296" s="322">
        <f t="shared" si="188"/>
        <v>-6.2225460400402756E-3</v>
      </c>
      <c r="U296" s="327">
        <f t="shared" si="189"/>
        <v>6.2300585915153919</v>
      </c>
      <c r="V296" s="335">
        <f t="shared" si="190"/>
        <v>6.2300585915153919</v>
      </c>
      <c r="W296" s="327">
        <f t="shared" si="191"/>
        <v>1.1431993199888524E-3</v>
      </c>
      <c r="X296" s="327">
        <f t="shared" si="192"/>
        <v>-13.090307107677972</v>
      </c>
      <c r="Y296" s="327">
        <f t="shared" si="193"/>
        <v>149.55350014212971</v>
      </c>
      <c r="Z296" s="107">
        <f>IF(H296&gt;0, rate1(1,$L$52,$L$51,$L$54,U296,$L$53,$L$50,Y296),"")</f>
        <v>2204.8175207617164</v>
      </c>
      <c r="AA296" s="335">
        <f t="shared" si="194"/>
        <v>-17.955033058980653</v>
      </c>
      <c r="AB296" s="335">
        <f t="shared" si="195"/>
        <v>6.0311122456587811E-5</v>
      </c>
      <c r="AC296" s="327">
        <f t="shared" si="196"/>
        <v>6.0311122456587811E-5</v>
      </c>
      <c r="AD296" s="327">
        <f t="shared" si="197"/>
        <v>1326.4551668323588</v>
      </c>
      <c r="AE296" s="327">
        <f t="shared" si="198"/>
        <v>-30094481.831321578</v>
      </c>
      <c r="AF296" s="327">
        <f t="shared" si="199"/>
        <v>1476.7631526598464</v>
      </c>
      <c r="AG296" s="327">
        <f t="shared" si="200"/>
        <v>1469.8852615725657</v>
      </c>
      <c r="AH296" s="327">
        <f t="shared" si="201"/>
        <v>6.3103362331801005</v>
      </c>
      <c r="AI296" s="327">
        <f t="shared" si="202"/>
        <v>2.729782785846285E-2</v>
      </c>
      <c r="AJ296" s="327">
        <f t="shared" si="203"/>
        <v>3.4069434708413584</v>
      </c>
      <c r="AK296" s="336">
        <f t="shared" si="204"/>
        <v>30.488461179941783</v>
      </c>
      <c r="AL296" s="42">
        <f t="shared" si="205"/>
        <v>22.665663076427499</v>
      </c>
    </row>
    <row r="297" spans="1:38" x14ac:dyDescent="0.25">
      <c r="A297" s="115"/>
      <c r="B297" s="327">
        <f t="shared" si="172"/>
        <v>1476.7631526598464</v>
      </c>
      <c r="C297" s="327">
        <f t="shared" si="173"/>
        <v>1469.8852615725657</v>
      </c>
      <c r="D297" s="327">
        <f t="shared" si="174"/>
        <v>6.3103362331801005</v>
      </c>
      <c r="E297" s="327">
        <f t="shared" si="175"/>
        <v>73.594246946683697</v>
      </c>
      <c r="F297" s="327">
        <f t="shared" si="176"/>
        <v>73.378475141649304</v>
      </c>
      <c r="G297" s="327">
        <f t="shared" si="177"/>
        <v>1893.2150391463706</v>
      </c>
      <c r="H297" s="405">
        <f t="shared" si="178"/>
        <v>0.02</v>
      </c>
      <c r="I297" s="327">
        <f t="shared" si="179"/>
        <v>4.1267346523683957</v>
      </c>
      <c r="J297" s="327">
        <f t="shared" si="138"/>
        <v>1848</v>
      </c>
      <c r="K297" s="334">
        <f t="shared" si="180"/>
        <v>-1</v>
      </c>
      <c r="L297" s="322">
        <f t="shared" si="181"/>
        <v>6.2903362331801009</v>
      </c>
      <c r="M297" s="322">
        <f t="shared" si="182"/>
        <v>6.3003362331801007</v>
      </c>
      <c r="N297" s="327">
        <f t="shared" si="183"/>
        <v>-4.2393939445465989E-2</v>
      </c>
      <c r="O297" s="327">
        <f t="shared" si="184"/>
        <v>3.3066709121516366E-4</v>
      </c>
      <c r="P297" s="331">
        <f t="shared" si="185"/>
        <v>151.64795850546992</v>
      </c>
      <c r="Q297" s="327">
        <f t="shared" si="186"/>
        <v>59.539848302799783</v>
      </c>
      <c r="R297" s="276">
        <f>IF(H297&gt;0, rate1(1,$L$52,$L$51,$L$54,L297,$L$53,$L$50,P297),"")</f>
        <v>2209.7668959992666</v>
      </c>
      <c r="S297" s="322">
        <f t="shared" si="187"/>
        <v>81.483614517652839</v>
      </c>
      <c r="T297" s="322">
        <f t="shared" si="188"/>
        <v>5.2674000415534928E-4</v>
      </c>
      <c r="U297" s="327">
        <f t="shared" si="189"/>
        <v>6.3103362331801005</v>
      </c>
      <c r="V297" s="335">
        <f t="shared" si="190"/>
        <v>6.3103362331801005</v>
      </c>
      <c r="W297" s="327">
        <f t="shared" si="191"/>
        <v>1.1728506044477172E-3</v>
      </c>
      <c r="X297" s="327">
        <f t="shared" si="192"/>
        <v>63.017900393404943</v>
      </c>
      <c r="Y297" s="327">
        <f t="shared" si="193"/>
        <v>152.12973694391496</v>
      </c>
      <c r="Z297" s="107">
        <f>IF(H297&gt;0, rate1(1,$L$52,$L$51,$L$54,U297,$L$53,$L$50,Y297),"")</f>
        <v>2210.8891800727629</v>
      </c>
      <c r="AA297" s="335">
        <f t="shared" si="194"/>
        <v>86.199744805823457</v>
      </c>
      <c r="AB297" s="335">
        <f t="shared" si="195"/>
        <v>-1.3765893396989988E-5</v>
      </c>
      <c r="AC297" s="327">
        <f t="shared" si="196"/>
        <v>5.2674000415534928E-4</v>
      </c>
      <c r="AD297" s="327">
        <f t="shared" si="197"/>
        <v>-37.969396366753799</v>
      </c>
      <c r="AE297" s="327">
        <f t="shared" si="198"/>
        <v>-4648401.1403696649</v>
      </c>
      <c r="AF297" s="327">
        <f t="shared" si="199"/>
        <v>1476.7202319803966</v>
      </c>
      <c r="AG297" s="327">
        <f t="shared" si="200"/>
        <v>1469.8847348325614</v>
      </c>
      <c r="AH297" s="327">
        <f t="shared" si="201"/>
        <v>6.2908583496951938</v>
      </c>
      <c r="AI297" s="327">
        <f t="shared" si="202"/>
        <v>0.23836903571548668</v>
      </c>
      <c r="AJ297" s="327">
        <f t="shared" si="203"/>
        <v>3.4070096844623903</v>
      </c>
      <c r="AK297" s="336">
        <f t="shared" si="204"/>
        <v>30.488513225882897</v>
      </c>
      <c r="AL297" s="42">
        <f t="shared" si="205"/>
        <v>22.66571352281338</v>
      </c>
    </row>
    <row r="298" spans="1:38" x14ac:dyDescent="0.25">
      <c r="A298" s="115"/>
      <c r="B298" s="327">
        <f t="shared" si="172"/>
        <v>1476.7202319803966</v>
      </c>
      <c r="C298" s="327">
        <f t="shared" si="173"/>
        <v>1469.8847348325614</v>
      </c>
      <c r="D298" s="327">
        <f t="shared" si="174"/>
        <v>6.2908583496951938</v>
      </c>
      <c r="E298" s="327">
        <f t="shared" si="175"/>
        <v>73.490134528962969</v>
      </c>
      <c r="F298" s="327">
        <f t="shared" si="176"/>
        <v>73.542190737823333</v>
      </c>
      <c r="G298" s="327">
        <f t="shared" si="177"/>
        <v>1879.8673219817476</v>
      </c>
      <c r="H298" s="405">
        <f t="shared" si="178"/>
        <v>0.02</v>
      </c>
      <c r="I298" s="327">
        <f t="shared" si="179"/>
        <v>4.1012982887011278</v>
      </c>
      <c r="J298" s="327">
        <f t="shared" si="138"/>
        <v>1848</v>
      </c>
      <c r="K298" s="334">
        <f t="shared" si="180"/>
        <v>-1</v>
      </c>
      <c r="L298" s="322">
        <f t="shared" si="181"/>
        <v>6.2708583496951942</v>
      </c>
      <c r="M298" s="322">
        <f t="shared" si="182"/>
        <v>6.280858349695194</v>
      </c>
      <c r="N298" s="327">
        <f t="shared" si="183"/>
        <v>-4.2266586010898166E-2</v>
      </c>
      <c r="O298" s="327">
        <f t="shared" si="184"/>
        <v>3.3066709121516366E-4</v>
      </c>
      <c r="P298" s="331">
        <f t="shared" si="185"/>
        <v>151.02236924792729</v>
      </c>
      <c r="Q298" s="327">
        <f t="shared" si="186"/>
        <v>39.229040875611872</v>
      </c>
      <c r="R298" s="276">
        <f>IF(H298&gt;0, rate1(1,$L$52,$L$51,$L$54,L298,$L$53,$L$50,P298),"")</f>
        <v>2208.3006434422732</v>
      </c>
      <c r="S298" s="322">
        <f t="shared" si="187"/>
        <v>53.722784693698706</v>
      </c>
      <c r="T298" s="322">
        <f t="shared" si="188"/>
        <v>8.0167590267571278E-4</v>
      </c>
      <c r="U298" s="327">
        <f t="shared" si="189"/>
        <v>6.2908583496951938</v>
      </c>
      <c r="V298" s="335">
        <f t="shared" si="190"/>
        <v>6.2908583496951938</v>
      </c>
      <c r="W298" s="327">
        <f t="shared" si="191"/>
        <v>1.1656213888464606E-3</v>
      </c>
      <c r="X298" s="327">
        <f t="shared" si="192"/>
        <v>49.600794081520462</v>
      </c>
      <c r="Y298" s="327">
        <f t="shared" si="193"/>
        <v>151.50364930597178</v>
      </c>
      <c r="Z298" s="107">
        <f>IF(H298&gt;0, rate1(1,$L$52,$L$51,$L$54,U298,$L$53,$L$50,Y298),"")</f>
        <v>2209.4295670097245</v>
      </c>
      <c r="AA298" s="335">
        <f t="shared" si="194"/>
        <v>67.891826517405804</v>
      </c>
      <c r="AB298" s="335">
        <f t="shared" si="195"/>
        <v>-1.742546809576438E-5</v>
      </c>
      <c r="AC298" s="327">
        <f t="shared" si="196"/>
        <v>8.0167590267571278E-4</v>
      </c>
      <c r="AD298" s="327">
        <f t="shared" si="197"/>
        <v>-24.947737524911275</v>
      </c>
      <c r="AE298" s="327">
        <f t="shared" si="198"/>
        <v>19604.792105968845</v>
      </c>
      <c r="AF298" s="327">
        <f t="shared" si="199"/>
        <v>1476.6771637184831</v>
      </c>
      <c r="AG298" s="327">
        <f t="shared" si="200"/>
        <v>1469.8839331566587</v>
      </c>
      <c r="AH298" s="327">
        <f t="shared" si="201"/>
        <v>6.2713787561800114</v>
      </c>
      <c r="AI298" s="327">
        <f t="shared" si="202"/>
        <v>0.36302842416695119</v>
      </c>
      <c r="AJ298" s="327">
        <f t="shared" si="203"/>
        <v>3.4071105256913254</v>
      </c>
      <c r="AK298" s="336">
        <f t="shared" si="204"/>
        <v>30.488964509726181</v>
      </c>
      <c r="AL298" s="42">
        <f t="shared" si="205"/>
        <v>22.666154028791382</v>
      </c>
    </row>
    <row r="299" spans="1:38" x14ac:dyDescent="0.25">
      <c r="A299" s="115"/>
      <c r="B299" s="327">
        <f t="shared" si="172"/>
        <v>1476.6771637184831</v>
      </c>
      <c r="C299" s="327">
        <f t="shared" si="173"/>
        <v>1469.8839331566587</v>
      </c>
      <c r="D299" s="327">
        <f t="shared" si="174"/>
        <v>6.2713787561800114</v>
      </c>
      <c r="E299" s="327">
        <f t="shared" si="175"/>
        <v>73.386897032215643</v>
      </c>
      <c r="F299" s="327">
        <f t="shared" si="176"/>
        <v>73.438515780589313</v>
      </c>
      <c r="G299" s="327">
        <f t="shared" si="177"/>
        <v>1859.7774287678944</v>
      </c>
      <c r="H299" s="405">
        <f t="shared" si="178"/>
        <v>0.02</v>
      </c>
      <c r="I299" s="327">
        <f t="shared" si="179"/>
        <v>4.0759383370946578</v>
      </c>
      <c r="J299" s="327">
        <f t="shared" si="138"/>
        <v>1848</v>
      </c>
      <c r="K299" s="334">
        <f t="shared" si="180"/>
        <v>-1</v>
      </c>
      <c r="L299" s="322">
        <f t="shared" si="181"/>
        <v>6.2513787561800118</v>
      </c>
      <c r="M299" s="322">
        <f t="shared" si="182"/>
        <v>6.2613787561800116</v>
      </c>
      <c r="N299" s="327">
        <f t="shared" si="183"/>
        <v>-4.2139199043948139E-2</v>
      </c>
      <c r="O299" s="327">
        <f t="shared" si="184"/>
        <v>3.3066709121516366E-4</v>
      </c>
      <c r="P299" s="331">
        <f t="shared" si="185"/>
        <v>150.39737331131892</v>
      </c>
      <c r="Q299" s="327">
        <f t="shared" si="186"/>
        <v>19.097609439083499</v>
      </c>
      <c r="R299" s="276">
        <f>IF(H299&gt;0, rate1(1,$L$52,$L$51,$L$54,L299,$L$53,$L$50,P299),"")</f>
        <v>2206.8255669083705</v>
      </c>
      <c r="S299" s="322">
        <f t="shared" si="187"/>
        <v>26.170982414279891</v>
      </c>
      <c r="T299" s="322">
        <f t="shared" si="188"/>
        <v>1.6741181710906092E-3</v>
      </c>
      <c r="U299" s="327">
        <f t="shared" si="189"/>
        <v>6.2713787561800114</v>
      </c>
      <c r="V299" s="335">
        <f t="shared" si="190"/>
        <v>6.2713787561800114</v>
      </c>
      <c r="W299" s="327">
        <f t="shared" si="191"/>
        <v>1.1584138901739038E-3</v>
      </c>
      <c r="X299" s="327">
        <f t="shared" si="192"/>
        <v>29.377264312695161</v>
      </c>
      <c r="Y299" s="327">
        <f t="shared" si="193"/>
        <v>150.87815391386144</v>
      </c>
      <c r="Z299" s="107">
        <f>IF(H299&gt;0, rate1(1,$L$52,$L$51,$L$54,U299,$L$53,$L$50,Y299),"")</f>
        <v>2207.9611853875385</v>
      </c>
      <c r="AA299" s="335">
        <f t="shared" si="194"/>
        <v>40.237310205181416</v>
      </c>
      <c r="AB299" s="335">
        <f t="shared" si="195"/>
        <v>-2.9523274763644005E-5</v>
      </c>
      <c r="AC299" s="327">
        <f t="shared" si="196"/>
        <v>1.6741181710906092E-3</v>
      </c>
      <c r="AD299" s="327">
        <f t="shared" si="197"/>
        <v>-11.946587968142621</v>
      </c>
      <c r="AE299" s="327">
        <f t="shared" si="198"/>
        <v>10502.609804692318</v>
      </c>
      <c r="AF299" s="327">
        <f t="shared" si="199"/>
        <v>1476.6333504012682</v>
      </c>
      <c r="AG299" s="327">
        <f t="shared" si="200"/>
        <v>1469.8822590384875</v>
      </c>
      <c r="AH299" s="327">
        <f t="shared" si="201"/>
        <v>6.2518974521767259</v>
      </c>
      <c r="AI299" s="327">
        <f t="shared" si="202"/>
        <v>0.758609196936189</v>
      </c>
      <c r="AJ299" s="327">
        <f t="shared" si="203"/>
        <v>3.407321250468252</v>
      </c>
      <c r="AK299" s="336">
        <f t="shared" si="204"/>
        <v>30.489646954997724</v>
      </c>
      <c r="AL299" s="42">
        <f t="shared" si="205"/>
        <v>22.666824905319242</v>
      </c>
    </row>
    <row r="300" spans="1:38" x14ac:dyDescent="0.25">
      <c r="A300" s="115"/>
      <c r="B300" s="327">
        <f t="shared" si="172"/>
        <v>1476.6333504012682</v>
      </c>
      <c r="C300" s="327">
        <f t="shared" si="173"/>
        <v>1469.8822590384875</v>
      </c>
      <c r="D300" s="327">
        <f t="shared" si="174"/>
        <v>6.2518974521767259</v>
      </c>
      <c r="E300" s="327">
        <f t="shared" si="175"/>
        <v>73.28574945025116</v>
      </c>
      <c r="F300" s="327">
        <f t="shared" si="176"/>
        <v>73.336323241233401</v>
      </c>
      <c r="G300" s="327">
        <f t="shared" si="177"/>
        <v>1839.8806478815773</v>
      </c>
      <c r="H300" s="405">
        <f t="shared" si="178"/>
        <v>0.02</v>
      </c>
      <c r="I300" s="327">
        <f t="shared" si="179"/>
        <v>4.0506548176684189</v>
      </c>
      <c r="J300" s="327">
        <f t="shared" si="138"/>
        <v>1848</v>
      </c>
      <c r="K300" s="334">
        <f t="shared" si="180"/>
        <v>-1</v>
      </c>
      <c r="L300" s="322">
        <f t="shared" si="181"/>
        <v>6.2318974521767263</v>
      </c>
      <c r="M300" s="322">
        <f t="shared" si="182"/>
        <v>6.2418974521767261</v>
      </c>
      <c r="N300" s="327">
        <f t="shared" si="183"/>
        <v>-4.2011778535737676E-2</v>
      </c>
      <c r="O300" s="327">
        <f t="shared" si="184"/>
        <v>3.3066709121516366E-4</v>
      </c>
      <c r="P300" s="331">
        <f t="shared" si="185"/>
        <v>149.77297219547503</v>
      </c>
      <c r="Q300" s="327">
        <f t="shared" si="186"/>
        <v>-0.82520834543242927</v>
      </c>
      <c r="R300" s="276">
        <f>IF(H300&gt;0, rate1(1,$L$52,$L$51,$L$54,L300,$L$53,$L$50,P300),"")</f>
        <v>2205.34159209161</v>
      </c>
      <c r="S300" s="322">
        <f t="shared" si="187"/>
        <v>-1.131609977862656</v>
      </c>
      <c r="T300" s="322">
        <f t="shared" si="188"/>
        <v>-1.9708942523276454E-2</v>
      </c>
      <c r="U300" s="327">
        <f t="shared" si="189"/>
        <v>6.2518974521767259</v>
      </c>
      <c r="V300" s="335">
        <f t="shared" si="190"/>
        <v>6.2518974521767259</v>
      </c>
      <c r="W300" s="327">
        <f t="shared" si="191"/>
        <v>1.1512281141126124E-3</v>
      </c>
      <c r="X300" s="327">
        <f t="shared" si="192"/>
        <v>9.3478248155447545</v>
      </c>
      <c r="Y300" s="327">
        <f t="shared" si="193"/>
        <v>150.25325226177461</v>
      </c>
      <c r="Z300" s="107">
        <f>IF(H300&gt;0, rate1(1,$L$52,$L$51,$L$54,U300,$L$53,$L$50,Y300),"")</f>
        <v>2206.483961490062</v>
      </c>
      <c r="AA300" s="335">
        <f t="shared" si="194"/>
        <v>12.812055603487622</v>
      </c>
      <c r="AB300" s="335">
        <f t="shared" si="195"/>
        <v>-9.7462131296833834E-5</v>
      </c>
      <c r="AC300" s="327">
        <f t="shared" si="196"/>
        <v>-9.7462131296833834E-5</v>
      </c>
      <c r="AD300" s="327">
        <f t="shared" si="197"/>
        <v>205.20790725463772</v>
      </c>
      <c r="AE300" s="327">
        <f t="shared" si="198"/>
        <v>275462.10427885572</v>
      </c>
      <c r="AF300" s="327">
        <f t="shared" si="199"/>
        <v>1476.5914360848637</v>
      </c>
      <c r="AG300" s="327">
        <f t="shared" si="200"/>
        <v>1469.8823565006189</v>
      </c>
      <c r="AH300" s="327">
        <f t="shared" si="201"/>
        <v>6.2324144372242909</v>
      </c>
      <c r="AI300" s="327">
        <f t="shared" si="202"/>
        <v>-4.4193666707386545E-2</v>
      </c>
      <c r="AJ300" s="327">
        <f t="shared" si="203"/>
        <v>3.4073089744497222</v>
      </c>
      <c r="AK300" s="336">
        <f t="shared" si="204"/>
        <v>30.49105779925944</v>
      </c>
      <c r="AL300" s="42">
        <f t="shared" si="205"/>
        <v>22.66822681511518</v>
      </c>
    </row>
    <row r="301" spans="1:38" x14ac:dyDescent="0.25">
      <c r="A301" s="115"/>
      <c r="B301" s="327">
        <f t="shared" si="172"/>
        <v>1476.5914360848637</v>
      </c>
      <c r="C301" s="327">
        <f t="shared" si="173"/>
        <v>1469.8823565006189</v>
      </c>
      <c r="D301" s="327">
        <f t="shared" si="174"/>
        <v>6.2324144372242909</v>
      </c>
      <c r="E301" s="327">
        <f t="shared" si="175"/>
        <v>73.181315010243623</v>
      </c>
      <c r="F301" s="327">
        <f t="shared" si="176"/>
        <v>73.233532230247391</v>
      </c>
      <c r="G301" s="327">
        <f t="shared" si="177"/>
        <v>1909.2174897934108</v>
      </c>
      <c r="H301" s="405">
        <f t="shared" si="178"/>
        <v>0.08</v>
      </c>
      <c r="I301" s="327">
        <f t="shared" si="179"/>
        <v>4.0254477505468911</v>
      </c>
      <c r="J301" s="327">
        <f t="shared" si="138"/>
        <v>1848</v>
      </c>
      <c r="K301" s="334">
        <f t="shared" si="180"/>
        <v>1</v>
      </c>
      <c r="L301" s="322">
        <f t="shared" si="181"/>
        <v>6.312414437224291</v>
      </c>
      <c r="M301" s="322">
        <f t="shared" si="182"/>
        <v>6.2724144372242909</v>
      </c>
      <c r="N301" s="327">
        <f t="shared" si="183"/>
        <v>0.17394856934126324</v>
      </c>
      <c r="O301" s="327">
        <f t="shared" si="184"/>
        <v>3.3066709121516366E-4</v>
      </c>
      <c r="P301" s="331">
        <f t="shared" si="185"/>
        <v>151.55576392207544</v>
      </c>
      <c r="Q301" s="327">
        <f t="shared" si="186"/>
        <v>23.729209937391488</v>
      </c>
      <c r="R301" s="276">
        <f>IF(H301&gt;0, rate1(1,$L$52,$L$51,$L$54,L301,$L$53,$L$50,P301),"")</f>
        <v>2209.5514493981914</v>
      </c>
      <c r="S301" s="322">
        <f t="shared" si="187"/>
        <v>32.47791830534733</v>
      </c>
      <c r="T301" s="322">
        <f t="shared" si="188"/>
        <v>-5.5260506001031722E-3</v>
      </c>
      <c r="U301" s="327">
        <f t="shared" si="189"/>
        <v>6.2324144372242909</v>
      </c>
      <c r="V301" s="335">
        <f t="shared" si="190"/>
        <v>6.2324144372242909</v>
      </c>
      <c r="W301" s="327">
        <f t="shared" si="191"/>
        <v>1.1440640664073243E-3</v>
      </c>
      <c r="X301" s="327">
        <f t="shared" si="192"/>
        <v>-10.541546883831643</v>
      </c>
      <c r="Y301" s="327">
        <f t="shared" si="193"/>
        <v>149.62894585152608</v>
      </c>
      <c r="Z301" s="107">
        <f>IF(H301&gt;0, rate1(1,$L$52,$L$51,$L$54,U301,$L$53,$L$50,Y301),"")</f>
        <v>2204.9978208127309</v>
      </c>
      <c r="AA301" s="335">
        <f t="shared" si="194"/>
        <v>-14.457899615316105</v>
      </c>
      <c r="AB301" s="335">
        <f t="shared" si="195"/>
        <v>7.4011611854029295E-5</v>
      </c>
      <c r="AC301" s="327">
        <f t="shared" si="196"/>
        <v>7.4011611854029295E-5</v>
      </c>
      <c r="AD301" s="327">
        <f t="shared" si="197"/>
        <v>1080.9114677542952</v>
      </c>
      <c r="AE301" s="327">
        <f t="shared" si="198"/>
        <v>-74685216.473390728</v>
      </c>
      <c r="AF301" s="327">
        <f t="shared" si="199"/>
        <v>1476.7653106425932</v>
      </c>
      <c r="AG301" s="327">
        <f t="shared" si="200"/>
        <v>1469.8822824890071</v>
      </c>
      <c r="AH301" s="327">
        <f t="shared" si="201"/>
        <v>6.3126923743672103</v>
      </c>
      <c r="AI301" s="327">
        <f t="shared" si="202"/>
        <v>3.3496215656887103E-2</v>
      </c>
      <c r="AJ301" s="327">
        <f t="shared" si="203"/>
        <v>3.4073182789540715</v>
      </c>
      <c r="AK301" s="336">
        <f t="shared" si="204"/>
        <v>30.490976488187307</v>
      </c>
      <c r="AL301" s="42">
        <f t="shared" si="205"/>
        <v>22.668145145219103</v>
      </c>
    </row>
    <row r="302" spans="1:38" x14ac:dyDescent="0.25">
      <c r="A302" s="115"/>
      <c r="B302" s="327"/>
      <c r="C302" s="327"/>
      <c r="D302" s="327"/>
      <c r="E302" s="327"/>
      <c r="F302" s="327"/>
      <c r="G302" s="327"/>
      <c r="H302" s="405"/>
      <c r="I302" s="327"/>
      <c r="J302" s="327"/>
      <c r="K302" s="334"/>
      <c r="L302" s="322"/>
      <c r="M302" s="322"/>
      <c r="N302" s="327"/>
      <c r="O302" s="327"/>
      <c r="P302" s="331"/>
      <c r="Q302" s="327"/>
      <c r="R302" s="276"/>
      <c r="S302" s="322"/>
      <c r="T302" s="322"/>
      <c r="U302" s="327"/>
      <c r="V302" s="335"/>
      <c r="W302" s="327"/>
      <c r="X302" s="327"/>
      <c r="Y302" s="327"/>
      <c r="Z302" s="107"/>
      <c r="AA302" s="335"/>
      <c r="AB302" s="335"/>
      <c r="AC302" s="327"/>
      <c r="AD302" s="327"/>
      <c r="AE302" s="327"/>
      <c r="AF302" s="327"/>
      <c r="AG302" s="327"/>
      <c r="AH302" s="327"/>
      <c r="AI302" s="327"/>
      <c r="AJ302" s="327"/>
      <c r="AK302" s="336"/>
      <c r="AL302" s="42"/>
    </row>
    <row r="303" spans="1:38" x14ac:dyDescent="0.25">
      <c r="A303" s="115"/>
      <c r="B303" s="327"/>
      <c r="C303" s="327"/>
      <c r="D303" s="327"/>
      <c r="E303" s="327"/>
      <c r="F303" s="327"/>
      <c r="G303" s="327"/>
      <c r="H303" s="405"/>
      <c r="I303" s="327"/>
      <c r="J303" s="327"/>
      <c r="K303" s="334"/>
      <c r="L303" s="322"/>
      <c r="M303" s="322"/>
      <c r="N303" s="327"/>
      <c r="O303" s="327"/>
      <c r="P303" s="331"/>
      <c r="Q303" s="327"/>
      <c r="R303" s="276"/>
      <c r="S303" s="322"/>
      <c r="T303" s="322"/>
      <c r="U303" s="327"/>
      <c r="V303" s="335"/>
      <c r="W303" s="327"/>
      <c r="X303" s="327"/>
      <c r="Y303" s="327"/>
      <c r="Z303" s="107"/>
      <c r="AA303" s="335"/>
      <c r="AB303" s="335"/>
      <c r="AC303" s="327"/>
      <c r="AD303" s="327"/>
      <c r="AE303" s="327"/>
      <c r="AF303" s="327"/>
      <c r="AG303" s="327"/>
      <c r="AH303" s="327"/>
      <c r="AI303" s="327"/>
      <c r="AJ303" s="327"/>
      <c r="AK303" s="336"/>
      <c r="AL303" s="42"/>
    </row>
    <row r="304" spans="1:38" x14ac:dyDescent="0.25">
      <c r="A304" s="115"/>
      <c r="B304" s="327"/>
      <c r="C304" s="327"/>
      <c r="D304" s="327"/>
      <c r="E304" s="327"/>
      <c r="F304" s="327"/>
      <c r="G304" s="327"/>
      <c r="H304" s="405"/>
      <c r="I304" s="327"/>
      <c r="J304" s="327"/>
      <c r="K304" s="334"/>
      <c r="L304" s="322"/>
      <c r="M304" s="322"/>
      <c r="N304" s="327"/>
      <c r="O304" s="327"/>
      <c r="P304" s="331"/>
      <c r="Q304" s="327"/>
      <c r="R304" s="276"/>
      <c r="S304" s="322"/>
      <c r="T304" s="322"/>
      <c r="U304" s="327"/>
      <c r="V304" s="335"/>
      <c r="W304" s="327"/>
      <c r="X304" s="327"/>
      <c r="Y304" s="327"/>
      <c r="Z304" s="107"/>
      <c r="AA304" s="335"/>
      <c r="AB304" s="335"/>
      <c r="AC304" s="327"/>
      <c r="AD304" s="327"/>
      <c r="AE304" s="327"/>
      <c r="AF304" s="327"/>
      <c r="AG304" s="327"/>
      <c r="AH304" s="327"/>
      <c r="AI304" s="327"/>
      <c r="AJ304" s="327"/>
      <c r="AK304" s="336"/>
      <c r="AL304" s="42"/>
    </row>
    <row r="305" spans="1:38" x14ac:dyDescent="0.25">
      <c r="A305" s="115"/>
      <c r="B305" s="327"/>
      <c r="C305" s="327"/>
      <c r="D305" s="327"/>
      <c r="E305" s="327"/>
      <c r="F305" s="327"/>
      <c r="G305" s="327"/>
      <c r="H305" s="405"/>
      <c r="I305" s="327"/>
      <c r="J305" s="327"/>
      <c r="K305" s="334"/>
      <c r="L305" s="322"/>
      <c r="M305" s="322"/>
      <c r="N305" s="327"/>
      <c r="O305" s="327"/>
      <c r="P305" s="331"/>
      <c r="Q305" s="327"/>
      <c r="R305" s="276"/>
      <c r="S305" s="322"/>
      <c r="T305" s="322"/>
      <c r="U305" s="327"/>
      <c r="V305" s="335"/>
      <c r="W305" s="327"/>
      <c r="X305" s="327"/>
      <c r="Y305" s="327"/>
      <c r="Z305" s="107"/>
      <c r="AA305" s="335"/>
      <c r="AB305" s="335"/>
      <c r="AC305" s="327"/>
      <c r="AD305" s="327"/>
      <c r="AE305" s="327"/>
      <c r="AF305" s="327"/>
      <c r="AG305" s="327"/>
      <c r="AH305" s="327"/>
      <c r="AI305" s="327"/>
      <c r="AJ305" s="327"/>
      <c r="AK305" s="336"/>
      <c r="AL305" s="42"/>
    </row>
    <row r="306" spans="1:38" x14ac:dyDescent="0.25">
      <c r="A306" s="115"/>
      <c r="B306" s="327"/>
      <c r="C306" s="327"/>
      <c r="D306" s="327"/>
      <c r="E306" s="327"/>
      <c r="F306" s="327"/>
      <c r="G306" s="327"/>
      <c r="H306" s="405"/>
      <c r="I306" s="327"/>
      <c r="J306" s="327"/>
      <c r="K306" s="334"/>
      <c r="L306" s="322"/>
      <c r="M306" s="322"/>
      <c r="N306" s="327"/>
      <c r="O306" s="327"/>
      <c r="P306" s="331"/>
      <c r="Q306" s="327"/>
      <c r="R306" s="276"/>
      <c r="S306" s="322"/>
      <c r="T306" s="322"/>
      <c r="U306" s="327"/>
      <c r="V306" s="335"/>
      <c r="W306" s="327"/>
      <c r="X306" s="327"/>
      <c r="Y306" s="327"/>
      <c r="Z306" s="107"/>
      <c r="AA306" s="335"/>
      <c r="AB306" s="335"/>
      <c r="AC306" s="327"/>
      <c r="AD306" s="327"/>
      <c r="AE306" s="327"/>
      <c r="AF306" s="327"/>
      <c r="AG306" s="327"/>
      <c r="AH306" s="327"/>
      <c r="AI306" s="327"/>
      <c r="AJ306" s="327"/>
      <c r="AK306" s="336"/>
      <c r="AL306" s="42"/>
    </row>
    <row r="307" spans="1:38" x14ac:dyDescent="0.25">
      <c r="A307" s="115"/>
      <c r="B307" s="327"/>
      <c r="C307" s="327"/>
      <c r="D307" s="327"/>
      <c r="E307" s="327"/>
      <c r="F307" s="327"/>
      <c r="G307" s="327"/>
      <c r="H307" s="405"/>
      <c r="I307" s="327"/>
      <c r="J307" s="327"/>
      <c r="K307" s="334"/>
      <c r="L307" s="322"/>
      <c r="M307" s="322"/>
      <c r="N307" s="327"/>
      <c r="O307" s="327"/>
      <c r="P307" s="331"/>
      <c r="Q307" s="327"/>
      <c r="R307" s="276"/>
      <c r="S307" s="322"/>
      <c r="T307" s="322"/>
      <c r="U307" s="327"/>
      <c r="V307" s="335"/>
      <c r="W307" s="327"/>
      <c r="X307" s="327"/>
      <c r="Y307" s="327"/>
      <c r="Z307" s="107"/>
      <c r="AA307" s="335"/>
      <c r="AB307" s="335"/>
      <c r="AC307" s="327"/>
      <c r="AD307" s="327"/>
      <c r="AE307" s="327"/>
      <c r="AF307" s="327"/>
      <c r="AG307" s="327"/>
      <c r="AH307" s="327"/>
      <c r="AI307" s="327"/>
      <c r="AJ307" s="327"/>
      <c r="AK307" s="336"/>
      <c r="AL307" s="42"/>
    </row>
    <row r="308" spans="1:38" x14ac:dyDescent="0.25">
      <c r="A308" s="115"/>
      <c r="B308" s="327"/>
      <c r="C308" s="327"/>
      <c r="D308" s="327"/>
      <c r="E308" s="327"/>
      <c r="F308" s="327"/>
      <c r="G308" s="327"/>
      <c r="H308" s="405"/>
      <c r="I308" s="327"/>
      <c r="J308" s="327"/>
      <c r="K308" s="334"/>
      <c r="L308" s="322"/>
      <c r="M308" s="322"/>
      <c r="N308" s="327"/>
      <c r="O308" s="327"/>
      <c r="P308" s="331"/>
      <c r="Q308" s="327"/>
      <c r="R308" s="276"/>
      <c r="S308" s="322"/>
      <c r="T308" s="322"/>
      <c r="U308" s="327"/>
      <c r="V308" s="335"/>
      <c r="W308" s="327"/>
      <c r="X308" s="327"/>
      <c r="Y308" s="327"/>
      <c r="Z308" s="107"/>
      <c r="AA308" s="335"/>
      <c r="AB308" s="335"/>
      <c r="AC308" s="327"/>
      <c r="AD308" s="327"/>
      <c r="AE308" s="327"/>
      <c r="AF308" s="327"/>
      <c r="AG308" s="327"/>
      <c r="AH308" s="327"/>
      <c r="AI308" s="327"/>
      <c r="AJ308" s="327"/>
      <c r="AK308" s="336"/>
      <c r="AL308" s="42"/>
    </row>
    <row r="309" spans="1:38" x14ac:dyDescent="0.25">
      <c r="A309" s="115"/>
      <c r="B309" s="327"/>
      <c r="C309" s="327"/>
      <c r="D309" s="327"/>
      <c r="E309" s="327"/>
      <c r="F309" s="327"/>
      <c r="G309" s="327"/>
      <c r="H309" s="405"/>
      <c r="I309" s="327"/>
      <c r="J309" s="327"/>
      <c r="K309" s="334"/>
      <c r="L309" s="322"/>
      <c r="M309" s="322"/>
      <c r="N309" s="327"/>
      <c r="O309" s="327"/>
      <c r="P309" s="331"/>
      <c r="Q309" s="327"/>
      <c r="R309" s="276"/>
      <c r="S309" s="322"/>
      <c r="T309" s="322"/>
      <c r="U309" s="327"/>
      <c r="V309" s="335"/>
      <c r="W309" s="327"/>
      <c r="X309" s="327"/>
      <c r="Y309" s="327"/>
      <c r="Z309" s="107"/>
      <c r="AA309" s="335"/>
      <c r="AB309" s="335"/>
      <c r="AC309" s="327"/>
      <c r="AD309" s="327"/>
      <c r="AE309" s="327"/>
      <c r="AF309" s="327"/>
      <c r="AG309" s="327"/>
      <c r="AH309" s="327"/>
      <c r="AI309" s="327"/>
      <c r="AJ309" s="327"/>
      <c r="AK309" s="336"/>
      <c r="AL309" s="42"/>
    </row>
    <row r="310" spans="1:38" x14ac:dyDescent="0.25">
      <c r="A310" s="115"/>
      <c r="B310" s="327"/>
      <c r="C310" s="327"/>
      <c r="D310" s="327"/>
      <c r="E310" s="327"/>
      <c r="F310" s="327"/>
      <c r="G310" s="327"/>
      <c r="H310" s="405"/>
      <c r="I310" s="327"/>
      <c r="J310" s="327"/>
      <c r="K310" s="334"/>
      <c r="L310" s="322"/>
      <c r="M310" s="322"/>
      <c r="N310" s="327"/>
      <c r="O310" s="327"/>
      <c r="P310" s="331"/>
      <c r="Q310" s="327"/>
      <c r="R310" s="276"/>
      <c r="S310" s="322"/>
      <c r="T310" s="322"/>
      <c r="U310" s="327"/>
      <c r="V310" s="335"/>
      <c r="W310" s="327"/>
      <c r="X310" s="327"/>
      <c r="Y310" s="327"/>
      <c r="Z310" s="107"/>
      <c r="AA310" s="335"/>
      <c r="AB310" s="335"/>
      <c r="AC310" s="327"/>
      <c r="AD310" s="327"/>
      <c r="AE310" s="327"/>
      <c r="AF310" s="327"/>
      <c r="AG310" s="327"/>
      <c r="AH310" s="327"/>
      <c r="AI310" s="327"/>
      <c r="AJ310" s="327"/>
      <c r="AK310" s="336"/>
      <c r="AL310" s="42"/>
    </row>
    <row r="311" spans="1:38" x14ac:dyDescent="0.25">
      <c r="A311" s="115"/>
      <c r="B311" s="327"/>
      <c r="C311" s="327"/>
      <c r="D311" s="327"/>
      <c r="E311" s="327"/>
      <c r="F311" s="327"/>
      <c r="G311" s="327"/>
      <c r="H311" s="405"/>
      <c r="I311" s="327"/>
      <c r="J311" s="327"/>
      <c r="K311" s="334"/>
      <c r="L311" s="322"/>
      <c r="M311" s="322"/>
      <c r="N311" s="327"/>
      <c r="O311" s="327"/>
      <c r="P311" s="331"/>
      <c r="Q311" s="327"/>
      <c r="R311" s="276"/>
      <c r="S311" s="322"/>
      <c r="T311" s="322"/>
      <c r="U311" s="327"/>
      <c r="V311" s="335"/>
      <c r="W311" s="327"/>
      <c r="X311" s="327"/>
      <c r="Y311" s="327"/>
      <c r="Z311" s="107"/>
      <c r="AA311" s="335"/>
      <c r="AB311" s="335"/>
      <c r="AC311" s="327"/>
      <c r="AD311" s="327"/>
      <c r="AE311" s="327"/>
      <c r="AF311" s="327"/>
      <c r="AG311" s="327"/>
      <c r="AH311" s="327"/>
      <c r="AI311" s="327"/>
      <c r="AJ311" s="327"/>
      <c r="AK311" s="336"/>
      <c r="AL311" s="42"/>
    </row>
    <row r="312" spans="1:38" x14ac:dyDescent="0.25">
      <c r="A312" s="115"/>
      <c r="B312" s="327"/>
      <c r="C312" s="327"/>
      <c r="D312" s="327"/>
      <c r="E312" s="327"/>
      <c r="F312" s="327"/>
      <c r="G312" s="327"/>
      <c r="H312" s="405"/>
      <c r="I312" s="327"/>
      <c r="J312" s="327"/>
      <c r="K312" s="334"/>
      <c r="L312" s="322"/>
      <c r="M312" s="322"/>
      <c r="N312" s="327"/>
      <c r="O312" s="327"/>
      <c r="P312" s="331"/>
      <c r="Q312" s="327"/>
      <c r="R312" s="276"/>
      <c r="S312" s="322"/>
      <c r="T312" s="322"/>
      <c r="U312" s="327"/>
      <c r="V312" s="335"/>
      <c r="W312" s="327"/>
      <c r="X312" s="327"/>
      <c r="Y312" s="327"/>
      <c r="Z312" s="107"/>
      <c r="AA312" s="335"/>
      <c r="AB312" s="335"/>
      <c r="AC312" s="327"/>
      <c r="AD312" s="327"/>
      <c r="AE312" s="327"/>
      <c r="AF312" s="327"/>
      <c r="AG312" s="327"/>
      <c r="AH312" s="327"/>
      <c r="AI312" s="327"/>
      <c r="AJ312" s="327"/>
      <c r="AK312" s="336"/>
      <c r="AL312" s="42"/>
    </row>
    <row r="313" spans="1:38" x14ac:dyDescent="0.25">
      <c r="A313" s="115"/>
      <c r="B313" s="327"/>
      <c r="C313" s="327"/>
      <c r="D313" s="327"/>
      <c r="E313" s="327"/>
      <c r="F313" s="327"/>
      <c r="G313" s="327"/>
      <c r="H313" s="405"/>
      <c r="I313" s="327"/>
      <c r="J313" s="327"/>
      <c r="K313" s="334"/>
      <c r="L313" s="322"/>
      <c r="M313" s="322"/>
      <c r="N313" s="327"/>
      <c r="O313" s="327"/>
      <c r="P313" s="331"/>
      <c r="Q313" s="327"/>
      <c r="R313" s="276"/>
      <c r="S313" s="322"/>
      <c r="T313" s="322"/>
      <c r="U313" s="327"/>
      <c r="V313" s="335"/>
      <c r="W313" s="327"/>
      <c r="X313" s="327"/>
      <c r="Y313" s="327"/>
      <c r="Z313" s="107"/>
      <c r="AA313" s="335"/>
      <c r="AB313" s="335"/>
      <c r="AC313" s="327"/>
      <c r="AD313" s="327"/>
      <c r="AE313" s="327"/>
      <c r="AF313" s="327"/>
      <c r="AG313" s="327"/>
      <c r="AH313" s="327"/>
      <c r="AI313" s="327"/>
      <c r="AJ313" s="327"/>
      <c r="AK313" s="336"/>
      <c r="AL313" s="42"/>
    </row>
    <row r="314" spans="1:38" x14ac:dyDescent="0.25">
      <c r="A314" s="115"/>
      <c r="B314" s="327"/>
      <c r="C314" s="327"/>
      <c r="D314" s="327"/>
      <c r="E314" s="327"/>
      <c r="F314" s="327"/>
      <c r="G314" s="327"/>
      <c r="H314" s="405"/>
      <c r="I314" s="327"/>
      <c r="J314" s="327"/>
      <c r="K314" s="334"/>
      <c r="L314" s="322"/>
      <c r="M314" s="322"/>
      <c r="N314" s="327"/>
      <c r="O314" s="327"/>
      <c r="P314" s="331"/>
      <c r="Q314" s="327"/>
      <c r="R314" s="276"/>
      <c r="S314" s="322"/>
      <c r="T314" s="322"/>
      <c r="U314" s="327"/>
      <c r="V314" s="335"/>
      <c r="W314" s="327"/>
      <c r="X314" s="327"/>
      <c r="Y314" s="327"/>
      <c r="Z314" s="107"/>
      <c r="AA314" s="335"/>
      <c r="AB314" s="335"/>
      <c r="AC314" s="327"/>
      <c r="AD314" s="327"/>
      <c r="AE314" s="327"/>
      <c r="AF314" s="327"/>
      <c r="AG314" s="327"/>
      <c r="AH314" s="327"/>
      <c r="AI314" s="327"/>
      <c r="AJ314" s="327"/>
      <c r="AK314" s="336"/>
      <c r="AL314" s="42"/>
    </row>
    <row r="315" spans="1:38" x14ac:dyDescent="0.25">
      <c r="A315" s="115"/>
      <c r="B315" s="327"/>
      <c r="C315" s="327"/>
      <c r="D315" s="327"/>
      <c r="E315" s="327"/>
      <c r="F315" s="327"/>
      <c r="G315" s="327"/>
      <c r="H315" s="405"/>
      <c r="I315" s="327"/>
      <c r="J315" s="327"/>
      <c r="K315" s="334"/>
      <c r="L315" s="322"/>
      <c r="M315" s="322"/>
      <c r="N315" s="327"/>
      <c r="O315" s="327"/>
      <c r="P315" s="331"/>
      <c r="Q315" s="327"/>
      <c r="R315" s="276"/>
      <c r="S315" s="322"/>
      <c r="T315" s="322"/>
      <c r="U315" s="327"/>
      <c r="V315" s="335"/>
      <c r="W315" s="327"/>
      <c r="X315" s="327"/>
      <c r="Y315" s="327"/>
      <c r="Z315" s="107"/>
      <c r="AA315" s="335"/>
      <c r="AB315" s="335"/>
      <c r="AC315" s="327"/>
      <c r="AD315" s="327"/>
      <c r="AE315" s="327"/>
      <c r="AF315" s="327"/>
      <c r="AG315" s="327"/>
      <c r="AH315" s="327"/>
      <c r="AI315" s="327"/>
      <c r="AJ315" s="327"/>
      <c r="AK315" s="336"/>
      <c r="AL315" s="42"/>
    </row>
    <row r="316" spans="1:38" x14ac:dyDescent="0.25">
      <c r="A316" s="115"/>
      <c r="B316" s="327"/>
      <c r="C316" s="327"/>
      <c r="D316" s="327"/>
      <c r="E316" s="327"/>
      <c r="F316" s="327"/>
      <c r="G316" s="327"/>
      <c r="H316" s="405"/>
      <c r="I316" s="327"/>
      <c r="J316" s="327"/>
      <c r="K316" s="334"/>
      <c r="L316" s="322"/>
      <c r="M316" s="322"/>
      <c r="N316" s="327"/>
      <c r="O316" s="327"/>
      <c r="P316" s="331"/>
      <c r="Q316" s="327"/>
      <c r="R316" s="276"/>
      <c r="S316" s="322"/>
      <c r="T316" s="322"/>
      <c r="U316" s="327"/>
      <c r="V316" s="335"/>
      <c r="W316" s="327"/>
      <c r="X316" s="327"/>
      <c r="Y316" s="327"/>
      <c r="Z316" s="107"/>
      <c r="AA316" s="335"/>
      <c r="AB316" s="335"/>
      <c r="AC316" s="327"/>
      <c r="AD316" s="327"/>
      <c r="AE316" s="327"/>
      <c r="AF316" s="327"/>
      <c r="AG316" s="327"/>
      <c r="AH316" s="327"/>
      <c r="AI316" s="327"/>
      <c r="AJ316" s="327"/>
      <c r="AK316" s="336"/>
      <c r="AL316" s="42"/>
    </row>
    <row r="317" spans="1:38" x14ac:dyDescent="0.25">
      <c r="A317" s="115"/>
      <c r="B317" s="327"/>
      <c r="C317" s="327"/>
      <c r="D317" s="327"/>
      <c r="E317" s="327"/>
      <c r="F317" s="327"/>
      <c r="G317" s="327"/>
      <c r="H317" s="405"/>
      <c r="I317" s="327"/>
      <c r="J317" s="327"/>
      <c r="K317" s="334"/>
      <c r="L317" s="322"/>
      <c r="M317" s="322"/>
      <c r="N317" s="327"/>
      <c r="O317" s="327"/>
      <c r="P317" s="331"/>
      <c r="Q317" s="327"/>
      <c r="R317" s="276"/>
      <c r="S317" s="322"/>
      <c r="T317" s="322"/>
      <c r="U317" s="327"/>
      <c r="V317" s="335"/>
      <c r="W317" s="327"/>
      <c r="X317" s="327"/>
      <c r="Y317" s="327"/>
      <c r="Z317" s="107"/>
      <c r="AA317" s="335"/>
      <c r="AB317" s="335"/>
      <c r="AC317" s="327"/>
      <c r="AD317" s="327"/>
      <c r="AE317" s="327"/>
      <c r="AF317" s="327"/>
      <c r="AG317" s="327"/>
      <c r="AH317" s="327"/>
      <c r="AI317" s="327"/>
      <c r="AJ317" s="327"/>
      <c r="AK317" s="336"/>
      <c r="AL317" s="42"/>
    </row>
    <row r="318" spans="1:38" x14ac:dyDescent="0.25">
      <c r="A318" s="115"/>
      <c r="B318" s="327"/>
      <c r="C318" s="327"/>
      <c r="D318" s="327"/>
      <c r="E318" s="327"/>
      <c r="F318" s="327"/>
      <c r="G318" s="327"/>
      <c r="H318" s="405"/>
      <c r="I318" s="327"/>
      <c r="J318" s="327"/>
      <c r="K318" s="334"/>
      <c r="L318" s="322"/>
      <c r="M318" s="322"/>
      <c r="N318" s="327"/>
      <c r="O318" s="327"/>
      <c r="P318" s="331"/>
      <c r="Q318" s="327"/>
      <c r="R318" s="276"/>
      <c r="S318" s="322"/>
      <c r="T318" s="322"/>
      <c r="U318" s="327"/>
      <c r="V318" s="335"/>
      <c r="W318" s="327"/>
      <c r="X318" s="327"/>
      <c r="Y318" s="327"/>
      <c r="Z318" s="107"/>
      <c r="AA318" s="335"/>
      <c r="AB318" s="335"/>
      <c r="AC318" s="327"/>
      <c r="AD318" s="327"/>
      <c r="AE318" s="327"/>
      <c r="AF318" s="327"/>
      <c r="AG318" s="327"/>
      <c r="AH318" s="327"/>
      <c r="AI318" s="327"/>
      <c r="AJ318" s="327"/>
      <c r="AK318" s="336"/>
      <c r="AL318" s="42"/>
    </row>
    <row r="319" spans="1:38" x14ac:dyDescent="0.25">
      <c r="A319" s="115"/>
      <c r="B319" s="327"/>
      <c r="C319" s="327"/>
      <c r="D319" s="327"/>
      <c r="E319" s="327"/>
      <c r="F319" s="327"/>
      <c r="G319" s="327"/>
      <c r="H319" s="405"/>
      <c r="I319" s="327"/>
      <c r="J319" s="327"/>
      <c r="K319" s="334"/>
      <c r="L319" s="322"/>
      <c r="M319" s="322"/>
      <c r="N319" s="327"/>
      <c r="O319" s="327"/>
      <c r="P319" s="331"/>
      <c r="Q319" s="327"/>
      <c r="R319" s="276"/>
      <c r="S319" s="322"/>
      <c r="T319" s="322"/>
      <c r="U319" s="327"/>
      <c r="V319" s="335"/>
      <c r="W319" s="327"/>
      <c r="X319" s="327"/>
      <c r="Y319" s="327"/>
      <c r="Z319" s="107"/>
      <c r="AA319" s="335"/>
      <c r="AB319" s="335"/>
      <c r="AC319" s="327"/>
      <c r="AD319" s="327"/>
      <c r="AE319" s="327"/>
      <c r="AF319" s="327"/>
      <c r="AG319" s="327"/>
      <c r="AH319" s="327"/>
      <c r="AI319" s="327"/>
      <c r="AJ319" s="327"/>
      <c r="AK319" s="336"/>
      <c r="AL319" s="42"/>
    </row>
    <row r="320" spans="1:38" x14ac:dyDescent="0.25">
      <c r="A320" s="115"/>
      <c r="B320" s="327"/>
      <c r="C320" s="327"/>
      <c r="D320" s="327"/>
      <c r="E320" s="327"/>
      <c r="F320" s="327"/>
      <c r="G320" s="327"/>
      <c r="H320" s="405"/>
      <c r="I320" s="327"/>
      <c r="J320" s="327"/>
      <c r="K320" s="334"/>
      <c r="L320" s="322"/>
      <c r="M320" s="322"/>
      <c r="N320" s="327"/>
      <c r="O320" s="327"/>
      <c r="P320" s="331"/>
      <c r="Q320" s="327"/>
      <c r="R320" s="276"/>
      <c r="S320" s="322"/>
      <c r="T320" s="322"/>
      <c r="U320" s="327"/>
      <c r="V320" s="335"/>
      <c r="W320" s="327"/>
      <c r="X320" s="327"/>
      <c r="Y320" s="327"/>
      <c r="Z320" s="107"/>
      <c r="AA320" s="335"/>
      <c r="AB320" s="335"/>
      <c r="AC320" s="327"/>
      <c r="AD320" s="327"/>
      <c r="AE320" s="327"/>
      <c r="AF320" s="327"/>
      <c r="AG320" s="327"/>
      <c r="AH320" s="327"/>
      <c r="AI320" s="327"/>
      <c r="AJ320" s="327"/>
      <c r="AK320" s="336"/>
      <c r="AL320" s="42"/>
    </row>
    <row r="321" spans="1:38" x14ac:dyDescent="0.25">
      <c r="A321" s="115"/>
      <c r="B321" s="327"/>
      <c r="C321" s="327"/>
      <c r="D321" s="327"/>
      <c r="E321" s="327"/>
      <c r="F321" s="327"/>
      <c r="G321" s="327"/>
      <c r="H321" s="405"/>
      <c r="I321" s="327"/>
      <c r="J321" s="327"/>
      <c r="K321" s="334"/>
      <c r="L321" s="322"/>
      <c r="M321" s="322"/>
      <c r="N321" s="327"/>
      <c r="O321" s="327"/>
      <c r="P321" s="331"/>
      <c r="Q321" s="327"/>
      <c r="R321" s="276"/>
      <c r="S321" s="322"/>
      <c r="T321" s="322"/>
      <c r="U321" s="327"/>
      <c r="V321" s="335"/>
      <c r="W321" s="327"/>
      <c r="X321" s="327"/>
      <c r="Y321" s="327"/>
      <c r="Z321" s="107"/>
      <c r="AA321" s="335"/>
      <c r="AB321" s="335"/>
      <c r="AC321" s="327"/>
      <c r="AD321" s="327"/>
      <c r="AE321" s="327"/>
      <c r="AF321" s="327"/>
      <c r="AG321" s="327"/>
      <c r="AH321" s="327"/>
      <c r="AI321" s="327"/>
      <c r="AJ321" s="327"/>
      <c r="AK321" s="336"/>
      <c r="AL321" s="42"/>
    </row>
    <row r="322" spans="1:38" x14ac:dyDescent="0.25">
      <c r="A322" s="115"/>
      <c r="B322" s="327"/>
      <c r="C322" s="327"/>
      <c r="D322" s="327"/>
      <c r="E322" s="327"/>
      <c r="F322" s="327"/>
      <c r="G322" s="327"/>
      <c r="H322" s="405"/>
      <c r="I322" s="327"/>
      <c r="J322" s="327"/>
      <c r="K322" s="334"/>
      <c r="L322" s="322"/>
      <c r="M322" s="322"/>
      <c r="N322" s="327"/>
      <c r="O322" s="327"/>
      <c r="P322" s="331"/>
      <c r="Q322" s="327"/>
      <c r="R322" s="276"/>
      <c r="S322" s="322"/>
      <c r="T322" s="322"/>
      <c r="U322" s="327"/>
      <c r="V322" s="335"/>
      <c r="W322" s="327"/>
      <c r="X322" s="327"/>
      <c r="Y322" s="327"/>
      <c r="Z322" s="107"/>
      <c r="AA322" s="335"/>
      <c r="AB322" s="335"/>
      <c r="AC322" s="327"/>
      <c r="AD322" s="327"/>
      <c r="AE322" s="327"/>
      <c r="AF322" s="327"/>
      <c r="AG322" s="327"/>
      <c r="AH322" s="327"/>
      <c r="AI322" s="327"/>
      <c r="AJ322" s="327"/>
      <c r="AK322" s="336"/>
      <c r="AL322" s="42"/>
    </row>
    <row r="323" spans="1:38" x14ac:dyDescent="0.25">
      <c r="A323" s="115"/>
      <c r="B323" s="327"/>
      <c r="C323" s="327"/>
      <c r="D323" s="327"/>
      <c r="E323" s="327"/>
      <c r="F323" s="327"/>
      <c r="G323" s="327"/>
      <c r="H323" s="405"/>
      <c r="I323" s="327"/>
      <c r="J323" s="327"/>
      <c r="K323" s="334"/>
      <c r="L323" s="322"/>
      <c r="M323" s="322"/>
      <c r="N323" s="327"/>
      <c r="O323" s="327"/>
      <c r="P323" s="331"/>
      <c r="Q323" s="327"/>
      <c r="R323" s="276"/>
      <c r="S323" s="322"/>
      <c r="T323" s="322"/>
      <c r="U323" s="327"/>
      <c r="V323" s="335"/>
      <c r="W323" s="327"/>
      <c r="X323" s="327"/>
      <c r="Y323" s="327"/>
      <c r="Z323" s="107"/>
      <c r="AA323" s="335"/>
      <c r="AB323" s="335"/>
      <c r="AC323" s="327"/>
      <c r="AD323" s="327"/>
      <c r="AE323" s="327"/>
      <c r="AF323" s="327"/>
      <c r="AG323" s="327"/>
      <c r="AH323" s="327"/>
      <c r="AI323" s="327"/>
      <c r="AJ323" s="327"/>
      <c r="AK323" s="336"/>
      <c r="AL323" s="42"/>
    </row>
    <row r="324" spans="1:38" x14ac:dyDescent="0.25">
      <c r="A324" s="115"/>
      <c r="B324" s="327"/>
      <c r="C324" s="327"/>
      <c r="D324" s="327"/>
      <c r="E324" s="327"/>
      <c r="F324" s="327"/>
      <c r="G324" s="327"/>
      <c r="H324" s="405"/>
      <c r="I324" s="327"/>
      <c r="J324" s="327"/>
      <c r="K324" s="334"/>
      <c r="L324" s="322"/>
      <c r="M324" s="322"/>
      <c r="N324" s="327"/>
      <c r="O324" s="327"/>
      <c r="P324" s="331"/>
      <c r="Q324" s="327"/>
      <c r="R324" s="276"/>
      <c r="S324" s="322"/>
      <c r="T324" s="322"/>
      <c r="U324" s="327"/>
      <c r="V324" s="335"/>
      <c r="W324" s="327"/>
      <c r="X324" s="327"/>
      <c r="Y324" s="327"/>
      <c r="Z324" s="107"/>
      <c r="AA324" s="335"/>
      <c r="AB324" s="335"/>
      <c r="AC324" s="327"/>
      <c r="AD324" s="327"/>
      <c r="AE324" s="327"/>
      <c r="AF324" s="327"/>
      <c r="AG324" s="327"/>
      <c r="AH324" s="327"/>
      <c r="AI324" s="327"/>
      <c r="AJ324" s="327"/>
      <c r="AK324" s="336"/>
      <c r="AL324" s="42"/>
    </row>
    <row r="325" spans="1:38" x14ac:dyDescent="0.25">
      <c r="A325" s="115"/>
      <c r="B325" s="327"/>
      <c r="C325" s="327"/>
      <c r="D325" s="327"/>
      <c r="E325" s="327"/>
      <c r="F325" s="327"/>
      <c r="G325" s="327"/>
      <c r="H325" s="405"/>
      <c r="I325" s="327"/>
      <c r="J325" s="327"/>
      <c r="K325" s="334"/>
      <c r="L325" s="322"/>
      <c r="M325" s="322"/>
      <c r="N325" s="327"/>
      <c r="O325" s="327"/>
      <c r="P325" s="331"/>
      <c r="Q325" s="327"/>
      <c r="R325" s="276"/>
      <c r="S325" s="322"/>
      <c r="T325" s="322"/>
      <c r="U325" s="327"/>
      <c r="V325" s="335"/>
      <c r="W325" s="327"/>
      <c r="X325" s="327"/>
      <c r="Y325" s="327"/>
      <c r="Z325" s="107"/>
      <c r="AA325" s="335"/>
      <c r="AB325" s="335"/>
      <c r="AC325" s="327"/>
      <c r="AD325" s="327"/>
      <c r="AE325" s="327"/>
      <c r="AF325" s="327"/>
      <c r="AG325" s="327"/>
      <c r="AH325" s="327"/>
      <c r="AI325" s="327"/>
      <c r="AJ325" s="327"/>
      <c r="AK325" s="336"/>
      <c r="AL325" s="42"/>
    </row>
    <row r="326" spans="1:38" x14ac:dyDescent="0.25">
      <c r="A326" s="115"/>
      <c r="B326" s="327"/>
      <c r="C326" s="327"/>
      <c r="D326" s="327"/>
      <c r="E326" s="327"/>
      <c r="F326" s="327"/>
      <c r="G326" s="327"/>
      <c r="H326" s="405"/>
      <c r="I326" s="327"/>
      <c r="J326" s="327"/>
      <c r="K326" s="334"/>
      <c r="L326" s="322"/>
      <c r="M326" s="322"/>
      <c r="N326" s="327"/>
      <c r="O326" s="327"/>
      <c r="P326" s="331"/>
      <c r="Q326" s="327"/>
      <c r="R326" s="276"/>
      <c r="S326" s="322"/>
      <c r="T326" s="322"/>
      <c r="U326" s="327"/>
      <c r="V326" s="335"/>
      <c r="W326" s="327"/>
      <c r="X326" s="327"/>
      <c r="Y326" s="327"/>
      <c r="Z326" s="107"/>
      <c r="AA326" s="335"/>
      <c r="AB326" s="335"/>
      <c r="AC326" s="327"/>
      <c r="AD326" s="327"/>
      <c r="AE326" s="327"/>
      <c r="AF326" s="327"/>
      <c r="AG326" s="327"/>
      <c r="AH326" s="327"/>
      <c r="AI326" s="327"/>
      <c r="AJ326" s="327"/>
      <c r="AK326" s="336"/>
      <c r="AL326" s="42"/>
    </row>
    <row r="327" spans="1:38" x14ac:dyDescent="0.25">
      <c r="A327" s="115"/>
      <c r="B327" s="327"/>
      <c r="C327" s="327"/>
      <c r="D327" s="327"/>
      <c r="E327" s="327"/>
      <c r="F327" s="327"/>
      <c r="G327" s="327"/>
      <c r="H327" s="405"/>
      <c r="I327" s="327"/>
      <c r="J327" s="327"/>
      <c r="K327" s="334"/>
      <c r="L327" s="322"/>
      <c r="M327" s="322"/>
      <c r="N327" s="327"/>
      <c r="O327" s="327"/>
      <c r="P327" s="331"/>
      <c r="Q327" s="327"/>
      <c r="R327" s="276"/>
      <c r="S327" s="322"/>
      <c r="T327" s="322"/>
      <c r="U327" s="327"/>
      <c r="V327" s="335"/>
      <c r="W327" s="327"/>
      <c r="X327" s="327"/>
      <c r="Y327" s="327"/>
      <c r="Z327" s="107"/>
      <c r="AA327" s="335"/>
      <c r="AB327" s="335"/>
      <c r="AC327" s="327"/>
      <c r="AD327" s="327"/>
      <c r="AE327" s="327"/>
      <c r="AF327" s="327"/>
      <c r="AG327" s="327"/>
      <c r="AH327" s="327"/>
      <c r="AI327" s="327"/>
      <c r="AJ327" s="327"/>
      <c r="AK327" s="336"/>
      <c r="AL327" s="42"/>
    </row>
    <row r="328" spans="1:38" x14ac:dyDescent="0.25">
      <c r="A328" s="115"/>
      <c r="B328" s="327"/>
      <c r="C328" s="327"/>
      <c r="D328" s="327"/>
      <c r="E328" s="327"/>
      <c r="F328" s="327"/>
      <c r="G328" s="327"/>
      <c r="H328" s="405"/>
      <c r="I328" s="327"/>
      <c r="J328" s="327"/>
      <c r="K328" s="334"/>
      <c r="L328" s="322"/>
      <c r="M328" s="322"/>
      <c r="N328" s="327"/>
      <c r="O328" s="327"/>
      <c r="P328" s="331"/>
      <c r="Q328" s="327"/>
      <c r="R328" s="276"/>
      <c r="S328" s="322"/>
      <c r="T328" s="322"/>
      <c r="U328" s="327"/>
      <c r="V328" s="335"/>
      <c r="W328" s="327"/>
      <c r="X328" s="327"/>
      <c r="Y328" s="327"/>
      <c r="Z328" s="107"/>
      <c r="AA328" s="335"/>
      <c r="AB328" s="335"/>
      <c r="AC328" s="327"/>
      <c r="AD328" s="327"/>
      <c r="AE328" s="327"/>
      <c r="AF328" s="327"/>
      <c r="AG328" s="327"/>
      <c r="AH328" s="327"/>
      <c r="AI328" s="327"/>
      <c r="AJ328" s="327"/>
      <c r="AK328" s="336"/>
      <c r="AL328" s="42"/>
    </row>
    <row r="329" spans="1:38" x14ac:dyDescent="0.25">
      <c r="A329" s="115"/>
      <c r="B329" s="327"/>
      <c r="C329" s="327"/>
      <c r="D329" s="327"/>
      <c r="E329" s="327"/>
      <c r="F329" s="327"/>
      <c r="G329" s="327"/>
      <c r="H329" s="405"/>
      <c r="I329" s="327"/>
      <c r="J329" s="327"/>
      <c r="K329" s="334"/>
      <c r="L329" s="322"/>
      <c r="M329" s="322"/>
      <c r="N329" s="327"/>
      <c r="O329" s="327"/>
      <c r="P329" s="331"/>
      <c r="Q329" s="327"/>
      <c r="R329" s="276"/>
      <c r="S329" s="322"/>
      <c r="T329" s="322"/>
      <c r="U329" s="327"/>
      <c r="V329" s="335"/>
      <c r="W329" s="327"/>
      <c r="X329" s="327"/>
      <c r="Y329" s="327"/>
      <c r="Z329" s="107"/>
      <c r="AA329" s="335"/>
      <c r="AB329" s="335"/>
      <c r="AC329" s="327"/>
      <c r="AD329" s="327"/>
      <c r="AE329" s="327"/>
      <c r="AF329" s="327"/>
      <c r="AG329" s="327"/>
      <c r="AH329" s="327"/>
      <c r="AI329" s="327"/>
      <c r="AJ329" s="327"/>
      <c r="AK329" s="336"/>
      <c r="AL329" s="42"/>
    </row>
    <row r="330" spans="1:38" x14ac:dyDescent="0.25">
      <c r="A330" s="115"/>
      <c r="B330" s="327"/>
      <c r="C330" s="327"/>
      <c r="D330" s="327"/>
      <c r="E330" s="327"/>
      <c r="F330" s="327"/>
      <c r="G330" s="327"/>
      <c r="H330" s="405"/>
      <c r="I330" s="327"/>
      <c r="J330" s="327"/>
      <c r="K330" s="334"/>
      <c r="L330" s="322"/>
      <c r="M330" s="322"/>
      <c r="N330" s="327"/>
      <c r="O330" s="327"/>
      <c r="P330" s="331"/>
      <c r="Q330" s="327"/>
      <c r="R330" s="276"/>
      <c r="S330" s="322"/>
      <c r="T330" s="322"/>
      <c r="U330" s="327"/>
      <c r="V330" s="335"/>
      <c r="W330" s="327"/>
      <c r="X330" s="327"/>
      <c r="Y330" s="327"/>
      <c r="Z330" s="107"/>
      <c r="AA330" s="335"/>
      <c r="AB330" s="335"/>
      <c r="AC330" s="327"/>
      <c r="AD330" s="327"/>
      <c r="AE330" s="327"/>
      <c r="AF330" s="327"/>
      <c r="AG330" s="327"/>
      <c r="AH330" s="327"/>
      <c r="AI330" s="327"/>
      <c r="AJ330" s="327"/>
      <c r="AK330" s="336"/>
      <c r="AL330" s="42"/>
    </row>
    <row r="331" spans="1:38" x14ac:dyDescent="0.25">
      <c r="A331" s="115"/>
      <c r="B331" s="327"/>
      <c r="C331" s="327"/>
      <c r="D331" s="327"/>
      <c r="E331" s="327"/>
      <c r="F331" s="327"/>
      <c r="G331" s="327"/>
      <c r="H331" s="405"/>
      <c r="I331" s="327"/>
      <c r="J331" s="327"/>
      <c r="K331" s="334"/>
      <c r="L331" s="322"/>
      <c r="M331" s="322"/>
      <c r="N331" s="327"/>
      <c r="O331" s="327"/>
      <c r="P331" s="331"/>
      <c r="Q331" s="327"/>
      <c r="R331" s="276"/>
      <c r="S331" s="322"/>
      <c r="T331" s="322"/>
      <c r="U331" s="327"/>
      <c r="V331" s="335"/>
      <c r="W331" s="327"/>
      <c r="X331" s="327"/>
      <c r="Y331" s="327"/>
      <c r="Z331" s="107"/>
      <c r="AA331" s="335"/>
      <c r="AB331" s="335"/>
      <c r="AC331" s="327"/>
      <c r="AD331" s="327"/>
      <c r="AE331" s="327"/>
      <c r="AF331" s="327"/>
      <c r="AG331" s="327"/>
      <c r="AH331" s="327"/>
      <c r="AI331" s="327"/>
      <c r="AJ331" s="327"/>
      <c r="AK331" s="336"/>
      <c r="AL331" s="42"/>
    </row>
    <row r="332" spans="1:38" x14ac:dyDescent="0.25">
      <c r="A332" s="115"/>
      <c r="B332" s="327"/>
      <c r="C332" s="327"/>
      <c r="D332" s="327"/>
      <c r="E332" s="327"/>
      <c r="F332" s="327"/>
      <c r="G332" s="327"/>
      <c r="H332" s="405"/>
      <c r="I332" s="327"/>
      <c r="J332" s="327"/>
      <c r="K332" s="334"/>
      <c r="L332" s="322"/>
      <c r="M332" s="322"/>
      <c r="N332" s="327"/>
      <c r="O332" s="327"/>
      <c r="P332" s="331"/>
      <c r="Q332" s="327"/>
      <c r="R332" s="276"/>
      <c r="S332" s="322"/>
      <c r="T332" s="322"/>
      <c r="U332" s="327"/>
      <c r="V332" s="335"/>
      <c r="W332" s="327"/>
      <c r="X332" s="327"/>
      <c r="Y332" s="327"/>
      <c r="Z332" s="107"/>
      <c r="AA332" s="335"/>
      <c r="AB332" s="335"/>
      <c r="AC332" s="327"/>
      <c r="AD332" s="327"/>
      <c r="AE332" s="327"/>
      <c r="AF332" s="327"/>
      <c r="AG332" s="327"/>
      <c r="AH332" s="327"/>
      <c r="AI332" s="327"/>
      <c r="AJ332" s="327"/>
      <c r="AK332" s="336"/>
      <c r="AL332" s="42"/>
    </row>
    <row r="333" spans="1:38" x14ac:dyDescent="0.25">
      <c r="A333" s="115"/>
      <c r="B333" s="327"/>
      <c r="C333" s="327"/>
      <c r="D333" s="327"/>
      <c r="E333" s="327"/>
      <c r="F333" s="327"/>
      <c r="G333" s="327"/>
      <c r="H333" s="405"/>
      <c r="I333" s="327"/>
      <c r="J333" s="327"/>
      <c r="K333" s="334"/>
      <c r="L333" s="322"/>
      <c r="M333" s="322"/>
      <c r="N333" s="327"/>
      <c r="O333" s="327"/>
      <c r="P333" s="331"/>
      <c r="Q333" s="327"/>
      <c r="R333" s="276"/>
      <c r="S333" s="322"/>
      <c r="T333" s="322"/>
      <c r="U333" s="327"/>
      <c r="V333" s="335"/>
      <c r="W333" s="327"/>
      <c r="X333" s="327"/>
      <c r="Y333" s="327"/>
      <c r="Z333" s="107"/>
      <c r="AA333" s="335"/>
      <c r="AB333" s="335"/>
      <c r="AC333" s="327"/>
      <c r="AD333" s="327"/>
      <c r="AE333" s="327"/>
      <c r="AF333" s="327"/>
      <c r="AG333" s="327"/>
      <c r="AH333" s="327"/>
      <c r="AI333" s="327"/>
      <c r="AJ333" s="327"/>
      <c r="AK333" s="336"/>
      <c r="AL333" s="42"/>
    </row>
    <row r="334" spans="1:38" x14ac:dyDescent="0.25">
      <c r="A334" s="115"/>
      <c r="B334" s="327"/>
      <c r="C334" s="327"/>
      <c r="D334" s="327"/>
      <c r="E334" s="327"/>
      <c r="F334" s="327"/>
      <c r="G334" s="327"/>
      <c r="H334" s="405"/>
      <c r="I334" s="327"/>
      <c r="J334" s="327"/>
      <c r="K334" s="334"/>
      <c r="L334" s="322"/>
      <c r="M334" s="322"/>
      <c r="N334" s="327"/>
      <c r="O334" s="327"/>
      <c r="P334" s="331"/>
      <c r="Q334" s="327"/>
      <c r="R334" s="276"/>
      <c r="S334" s="322"/>
      <c r="T334" s="322"/>
      <c r="U334" s="327"/>
      <c r="V334" s="335"/>
      <c r="W334" s="327"/>
      <c r="X334" s="327"/>
      <c r="Y334" s="327"/>
      <c r="Z334" s="107"/>
      <c r="AA334" s="335"/>
      <c r="AB334" s="335"/>
      <c r="AC334" s="327"/>
      <c r="AD334" s="327"/>
      <c r="AE334" s="327"/>
      <c r="AF334" s="327"/>
      <c r="AG334" s="327"/>
      <c r="AH334" s="327"/>
      <c r="AI334" s="327"/>
      <c r="AJ334" s="327"/>
      <c r="AK334" s="336"/>
      <c r="AL334" s="42"/>
    </row>
    <row r="335" spans="1:38" x14ac:dyDescent="0.25">
      <c r="A335" s="115"/>
      <c r="B335" s="327"/>
      <c r="C335" s="327"/>
      <c r="D335" s="327"/>
      <c r="E335" s="327"/>
      <c r="F335" s="327"/>
      <c r="G335" s="327"/>
      <c r="H335" s="405"/>
      <c r="I335" s="327"/>
      <c r="J335" s="327"/>
      <c r="K335" s="334"/>
      <c r="L335" s="322"/>
      <c r="M335" s="322"/>
      <c r="N335" s="327"/>
      <c r="O335" s="327"/>
      <c r="P335" s="331"/>
      <c r="Q335" s="327"/>
      <c r="R335" s="276"/>
      <c r="S335" s="322"/>
      <c r="T335" s="322"/>
      <c r="U335" s="327"/>
      <c r="V335" s="335"/>
      <c r="W335" s="327"/>
      <c r="X335" s="327"/>
      <c r="Y335" s="327"/>
      <c r="Z335" s="107"/>
      <c r="AA335" s="335"/>
      <c r="AB335" s="335"/>
      <c r="AC335" s="327"/>
      <c r="AD335" s="327"/>
      <c r="AE335" s="327"/>
      <c r="AF335" s="327"/>
      <c r="AG335" s="327"/>
      <c r="AH335" s="327"/>
      <c r="AI335" s="327"/>
      <c r="AJ335" s="327"/>
      <c r="AK335" s="336"/>
      <c r="AL335" s="42"/>
    </row>
    <row r="336" spans="1:38" x14ac:dyDescent="0.25">
      <c r="A336" s="115"/>
      <c r="B336" s="327"/>
      <c r="C336" s="327"/>
      <c r="D336" s="327"/>
      <c r="E336" s="327"/>
      <c r="F336" s="327"/>
      <c r="G336" s="327"/>
      <c r="H336" s="405"/>
      <c r="I336" s="327"/>
      <c r="J336" s="327"/>
      <c r="K336" s="334"/>
      <c r="L336" s="322"/>
      <c r="M336" s="322"/>
      <c r="N336" s="327"/>
      <c r="O336" s="327"/>
      <c r="P336" s="331"/>
      <c r="Q336" s="327"/>
      <c r="R336" s="276"/>
      <c r="S336" s="322"/>
      <c r="T336" s="322"/>
      <c r="U336" s="327"/>
      <c r="V336" s="335"/>
      <c r="W336" s="327"/>
      <c r="X336" s="327"/>
      <c r="Y336" s="327"/>
      <c r="Z336" s="107"/>
      <c r="AA336" s="335"/>
      <c r="AB336" s="335"/>
      <c r="AC336" s="327"/>
      <c r="AD336" s="327"/>
      <c r="AE336" s="327"/>
      <c r="AF336" s="327"/>
      <c r="AG336" s="327"/>
      <c r="AH336" s="327"/>
      <c r="AI336" s="327"/>
      <c r="AJ336" s="327"/>
      <c r="AK336" s="336"/>
      <c r="AL336" s="42"/>
    </row>
    <row r="337" spans="2:38" x14ac:dyDescent="0.25">
      <c r="B337" s="327"/>
      <c r="C337" s="327"/>
      <c r="D337" s="327"/>
      <c r="E337" s="327"/>
      <c r="F337" s="327"/>
      <c r="G337" s="327"/>
      <c r="H337" s="312"/>
      <c r="I337" s="327"/>
      <c r="J337" s="327"/>
      <c r="K337" s="334"/>
      <c r="L337" s="322"/>
      <c r="M337" s="322"/>
      <c r="N337" s="327"/>
      <c r="O337" s="327"/>
      <c r="P337" s="331"/>
      <c r="Q337" s="327"/>
      <c r="R337" s="276"/>
      <c r="S337" s="322"/>
      <c r="T337" s="322"/>
      <c r="U337" s="327"/>
      <c r="V337" s="335"/>
      <c r="W337" s="327"/>
      <c r="X337" s="327"/>
      <c r="Y337" s="327"/>
      <c r="Z337" s="107"/>
      <c r="AA337" s="335"/>
      <c r="AB337" s="335"/>
      <c r="AC337" s="327"/>
      <c r="AD337" s="327"/>
      <c r="AE337" s="327"/>
      <c r="AF337" s="327"/>
      <c r="AG337" s="327"/>
      <c r="AH337" s="327"/>
      <c r="AI337" s="327"/>
      <c r="AJ337" s="327"/>
      <c r="AK337" s="336"/>
      <c r="AL337" s="42"/>
    </row>
    <row r="338" spans="2:38" x14ac:dyDescent="0.25">
      <c r="B338" s="327"/>
      <c r="C338" s="327"/>
      <c r="D338" s="327"/>
      <c r="E338" s="327"/>
      <c r="F338" s="327"/>
      <c r="G338" s="327"/>
      <c r="H338" s="312"/>
      <c r="I338" s="327"/>
      <c r="J338" s="327"/>
      <c r="K338" s="334"/>
      <c r="L338" s="322"/>
      <c r="M338" s="322"/>
      <c r="N338" s="327"/>
      <c r="O338" s="327"/>
      <c r="P338" s="331"/>
      <c r="Q338" s="327"/>
      <c r="R338" s="276"/>
      <c r="S338" s="322"/>
      <c r="T338" s="322"/>
      <c r="U338" s="327"/>
      <c r="V338" s="335"/>
      <c r="W338" s="327"/>
      <c r="X338" s="327"/>
      <c r="Y338" s="327"/>
      <c r="Z338" s="107"/>
      <c r="AA338" s="335"/>
      <c r="AB338" s="335"/>
      <c r="AC338" s="327"/>
      <c r="AD338" s="327"/>
      <c r="AE338" s="327"/>
      <c r="AF338" s="327"/>
      <c r="AG338" s="327"/>
      <c r="AH338" s="327"/>
      <c r="AI338" s="327"/>
      <c r="AJ338" s="327"/>
      <c r="AK338" s="336"/>
      <c r="AL338" s="42"/>
    </row>
    <row r="339" spans="2:38" x14ac:dyDescent="0.25">
      <c r="B339" s="327"/>
      <c r="C339" s="327"/>
      <c r="D339" s="327"/>
      <c r="E339" s="327"/>
      <c r="F339" s="327"/>
      <c r="G339" s="327"/>
      <c r="H339" s="312"/>
      <c r="I339" s="327"/>
      <c r="J339" s="327"/>
      <c r="K339" s="334"/>
      <c r="L339" s="322"/>
      <c r="M339" s="322"/>
      <c r="N339" s="327"/>
      <c r="O339" s="327"/>
      <c r="P339" s="331"/>
      <c r="Q339" s="327"/>
      <c r="R339" s="276"/>
      <c r="S339" s="322"/>
      <c r="T339" s="322"/>
      <c r="U339" s="327"/>
      <c r="V339" s="335"/>
      <c r="W339" s="327"/>
      <c r="X339" s="327"/>
      <c r="Y339" s="327"/>
      <c r="Z339" s="107"/>
      <c r="AA339" s="335"/>
      <c r="AB339" s="335"/>
      <c r="AC339" s="327"/>
      <c r="AD339" s="327"/>
      <c r="AE339" s="327"/>
      <c r="AF339" s="327"/>
      <c r="AG339" s="327"/>
      <c r="AH339" s="327"/>
      <c r="AI339" s="327"/>
      <c r="AJ339" s="327"/>
      <c r="AK339" s="336"/>
      <c r="AL339" s="42"/>
    </row>
    <row r="340" spans="2:38" x14ac:dyDescent="0.25">
      <c r="B340" s="327"/>
      <c r="C340" s="327"/>
      <c r="D340" s="327"/>
      <c r="E340" s="327"/>
      <c r="F340" s="327"/>
      <c r="G340" s="327"/>
      <c r="H340" s="312"/>
      <c r="I340" s="327"/>
      <c r="J340" s="327"/>
      <c r="K340" s="334"/>
      <c r="L340" s="322"/>
      <c r="M340" s="322"/>
      <c r="N340" s="327"/>
      <c r="O340" s="327"/>
      <c r="P340" s="331"/>
      <c r="Q340" s="327"/>
      <c r="R340" s="276"/>
      <c r="S340" s="322"/>
      <c r="T340" s="322"/>
      <c r="U340" s="327"/>
      <c r="V340" s="335"/>
      <c r="W340" s="327"/>
      <c r="X340" s="327"/>
      <c r="Y340" s="327"/>
      <c r="Z340" s="107"/>
      <c r="AA340" s="335"/>
      <c r="AB340" s="335"/>
      <c r="AC340" s="327"/>
      <c r="AD340" s="327"/>
      <c r="AE340" s="327"/>
      <c r="AF340" s="327"/>
      <c r="AG340" s="327"/>
      <c r="AH340" s="327"/>
      <c r="AI340" s="327"/>
      <c r="AJ340" s="327"/>
      <c r="AK340" s="336"/>
      <c r="AL340" s="42"/>
    </row>
    <row r="341" spans="2:38" x14ac:dyDescent="0.25">
      <c r="B341" s="327"/>
      <c r="C341" s="327"/>
      <c r="D341" s="327"/>
      <c r="E341" s="327"/>
      <c r="F341" s="327"/>
      <c r="G341" s="327"/>
      <c r="H341" s="312"/>
      <c r="I341" s="327"/>
      <c r="J341" s="327"/>
      <c r="K341" s="334"/>
      <c r="L341" s="322"/>
      <c r="M341" s="322"/>
      <c r="N341" s="327"/>
      <c r="O341" s="327"/>
      <c r="P341" s="331"/>
      <c r="Q341" s="327"/>
      <c r="R341" s="276"/>
      <c r="S341" s="322"/>
      <c r="T341" s="322"/>
      <c r="U341" s="327"/>
      <c r="V341" s="335"/>
      <c r="W341" s="327"/>
      <c r="X341" s="327"/>
      <c r="Y341" s="327"/>
      <c r="Z341" s="107"/>
      <c r="AA341" s="335"/>
      <c r="AB341" s="335"/>
      <c r="AC341" s="327"/>
      <c r="AD341" s="327"/>
      <c r="AE341" s="327"/>
      <c r="AF341" s="327"/>
      <c r="AG341" s="327"/>
      <c r="AH341" s="327"/>
      <c r="AI341" s="327"/>
      <c r="AJ341" s="327"/>
      <c r="AK341" s="336"/>
      <c r="AL341" s="42"/>
    </row>
    <row r="342" spans="2:38" x14ac:dyDescent="0.25">
      <c r="B342" s="327"/>
      <c r="C342" s="327"/>
      <c r="D342" s="327"/>
      <c r="E342" s="327"/>
      <c r="F342" s="327"/>
      <c r="G342" s="327"/>
      <c r="H342" s="312"/>
      <c r="I342" s="327"/>
      <c r="J342" s="327"/>
      <c r="K342" s="334"/>
      <c r="L342" s="322"/>
      <c r="M342" s="322"/>
      <c r="N342" s="327"/>
      <c r="O342" s="327"/>
      <c r="P342" s="331"/>
      <c r="Q342" s="327"/>
      <c r="R342" s="276"/>
      <c r="S342" s="322"/>
      <c r="T342" s="322"/>
      <c r="U342" s="327"/>
      <c r="V342" s="335"/>
      <c r="W342" s="327"/>
      <c r="X342" s="327"/>
      <c r="Y342" s="327"/>
      <c r="Z342" s="107"/>
      <c r="AA342" s="335"/>
      <c r="AB342" s="335"/>
      <c r="AC342" s="327"/>
      <c r="AD342" s="327"/>
      <c r="AE342" s="327"/>
      <c r="AF342" s="327"/>
      <c r="AG342" s="327"/>
      <c r="AH342" s="327"/>
      <c r="AI342" s="327"/>
      <c r="AJ342" s="327"/>
      <c r="AK342" s="336"/>
      <c r="AL342" s="42"/>
    </row>
    <row r="343" spans="2:38" x14ac:dyDescent="0.25">
      <c r="B343" s="327"/>
      <c r="C343" s="327"/>
      <c r="D343" s="327"/>
      <c r="E343" s="327"/>
      <c r="F343" s="327"/>
      <c r="G343" s="327"/>
      <c r="H343" s="312"/>
      <c r="I343" s="327"/>
      <c r="J343" s="327"/>
      <c r="K343" s="334"/>
      <c r="L343" s="322"/>
      <c r="M343" s="322"/>
      <c r="N343" s="327"/>
      <c r="O343" s="327"/>
      <c r="P343" s="331"/>
      <c r="Q343" s="327"/>
      <c r="R343" s="276"/>
      <c r="S343" s="322"/>
      <c r="T343" s="322"/>
      <c r="U343" s="327"/>
      <c r="V343" s="335"/>
      <c r="W343" s="327"/>
      <c r="X343" s="327"/>
      <c r="Y343" s="327"/>
      <c r="Z343" s="107"/>
      <c r="AA343" s="335"/>
      <c r="AB343" s="335"/>
      <c r="AC343" s="327"/>
      <c r="AD343" s="327"/>
      <c r="AE343" s="327"/>
      <c r="AF343" s="327"/>
      <c r="AG343" s="327"/>
      <c r="AH343" s="327"/>
      <c r="AI343" s="327"/>
      <c r="AJ343" s="327"/>
      <c r="AK343" s="336"/>
      <c r="AL343" s="42"/>
    </row>
    <row r="344" spans="2:38" x14ac:dyDescent="0.25">
      <c r="B344" s="327"/>
      <c r="C344" s="327"/>
      <c r="D344" s="327"/>
      <c r="E344" s="327"/>
      <c r="F344" s="327"/>
      <c r="G344" s="327"/>
      <c r="H344" s="312"/>
      <c r="I344" s="327"/>
      <c r="J344" s="327"/>
      <c r="K344" s="334"/>
      <c r="L344" s="322"/>
      <c r="M344" s="322"/>
      <c r="N344" s="327"/>
      <c r="O344" s="327"/>
      <c r="P344" s="331"/>
      <c r="Q344" s="327"/>
      <c r="R344" s="276"/>
      <c r="S344" s="322"/>
      <c r="T344" s="322"/>
      <c r="U344" s="327"/>
      <c r="V344" s="335"/>
      <c r="W344" s="327"/>
      <c r="X344" s="327"/>
      <c r="Y344" s="327"/>
      <c r="Z344" s="107"/>
      <c r="AA344" s="335"/>
      <c r="AB344" s="335"/>
      <c r="AC344" s="327"/>
      <c r="AD344" s="327"/>
      <c r="AE344" s="327"/>
      <c r="AF344" s="327"/>
      <c r="AG344" s="327"/>
      <c r="AH344" s="327"/>
      <c r="AI344" s="327"/>
      <c r="AJ344" s="327"/>
      <c r="AK344" s="336"/>
      <c r="AL344" s="42"/>
    </row>
    <row r="345" spans="2:38" x14ac:dyDescent="0.25">
      <c r="B345" s="327"/>
      <c r="C345" s="327"/>
      <c r="D345" s="327"/>
      <c r="E345" s="327"/>
      <c r="F345" s="327"/>
      <c r="G345" s="327"/>
      <c r="H345" s="312"/>
      <c r="I345" s="327"/>
      <c r="J345" s="327"/>
      <c r="K345" s="334"/>
      <c r="L345" s="322"/>
      <c r="M345" s="322"/>
      <c r="N345" s="327"/>
      <c r="O345" s="327"/>
      <c r="P345" s="331"/>
      <c r="Q345" s="327"/>
      <c r="R345" s="276"/>
      <c r="S345" s="322"/>
      <c r="T345" s="322"/>
      <c r="U345" s="327"/>
      <c r="V345" s="335"/>
      <c r="W345" s="327"/>
      <c r="X345" s="327"/>
      <c r="Y345" s="327"/>
      <c r="Z345" s="107"/>
      <c r="AA345" s="335"/>
      <c r="AB345" s="335"/>
      <c r="AC345" s="327"/>
      <c r="AD345" s="327"/>
      <c r="AE345" s="327"/>
      <c r="AF345" s="327"/>
      <c r="AG345" s="327"/>
      <c r="AH345" s="327"/>
      <c r="AI345" s="327"/>
      <c r="AJ345" s="327"/>
      <c r="AK345" s="336"/>
      <c r="AL345" s="42"/>
    </row>
    <row r="346" spans="2:38" x14ac:dyDescent="0.25">
      <c r="B346" s="327"/>
      <c r="C346" s="327"/>
      <c r="D346" s="327"/>
      <c r="E346" s="327"/>
      <c r="F346" s="327"/>
      <c r="G346" s="327"/>
      <c r="H346" s="312"/>
      <c r="I346" s="327"/>
      <c r="J346" s="327"/>
      <c r="K346" s="334"/>
      <c r="L346" s="322"/>
      <c r="M346" s="322"/>
      <c r="N346" s="327"/>
      <c r="O346" s="327"/>
      <c r="P346" s="331"/>
      <c r="Q346" s="327"/>
      <c r="R346" s="276"/>
      <c r="S346" s="322"/>
      <c r="T346" s="322"/>
      <c r="U346" s="327"/>
      <c r="V346" s="335"/>
      <c r="W346" s="327"/>
      <c r="X346" s="327"/>
      <c r="Y346" s="327"/>
      <c r="Z346" s="107"/>
      <c r="AA346" s="335"/>
      <c r="AB346" s="335"/>
      <c r="AC346" s="327"/>
      <c r="AD346" s="327"/>
      <c r="AE346" s="327"/>
      <c r="AF346" s="327"/>
      <c r="AG346" s="327"/>
      <c r="AH346" s="327"/>
      <c r="AI346" s="327"/>
      <c r="AJ346" s="327"/>
      <c r="AK346" s="336"/>
      <c r="AL346" s="42"/>
    </row>
    <row r="347" spans="2:38" x14ac:dyDescent="0.25">
      <c r="B347" s="327"/>
      <c r="C347" s="327"/>
      <c r="D347" s="327"/>
      <c r="E347" s="327"/>
      <c r="F347" s="327"/>
      <c r="G347" s="327"/>
      <c r="H347" s="312"/>
      <c r="I347" s="327"/>
      <c r="J347" s="327"/>
      <c r="K347" s="334"/>
      <c r="L347" s="322"/>
      <c r="M347" s="322"/>
      <c r="N347" s="327"/>
      <c r="O347" s="327"/>
      <c r="P347" s="331"/>
      <c r="Q347" s="327"/>
      <c r="R347" s="276"/>
      <c r="S347" s="322"/>
      <c r="T347" s="322"/>
      <c r="U347" s="327"/>
      <c r="V347" s="335"/>
      <c r="W347" s="327"/>
      <c r="X347" s="327"/>
      <c r="Y347" s="327"/>
      <c r="Z347" s="107"/>
      <c r="AA347" s="335"/>
      <c r="AB347" s="335"/>
      <c r="AC347" s="327"/>
      <c r="AD347" s="327"/>
      <c r="AE347" s="327"/>
      <c r="AF347" s="327"/>
      <c r="AG347" s="327"/>
      <c r="AH347" s="327"/>
      <c r="AI347" s="327"/>
      <c r="AJ347" s="327"/>
      <c r="AK347" s="336"/>
      <c r="AL347" s="42"/>
    </row>
    <row r="348" spans="2:38" x14ac:dyDescent="0.25">
      <c r="B348" s="327"/>
      <c r="C348" s="327"/>
      <c r="D348" s="327"/>
      <c r="E348" s="327"/>
      <c r="F348" s="327"/>
      <c r="G348" s="327"/>
      <c r="H348" s="312"/>
      <c r="I348" s="327"/>
      <c r="J348" s="327"/>
      <c r="K348" s="334"/>
      <c r="L348" s="322"/>
      <c r="M348" s="322"/>
      <c r="N348" s="327"/>
      <c r="O348" s="327"/>
      <c r="P348" s="331"/>
      <c r="Q348" s="327"/>
      <c r="R348" s="276"/>
      <c r="S348" s="322"/>
      <c r="T348" s="322"/>
      <c r="U348" s="327"/>
      <c r="V348" s="335"/>
      <c r="W348" s="327"/>
      <c r="X348" s="327"/>
      <c r="Y348" s="327"/>
      <c r="Z348" s="107"/>
      <c r="AA348" s="335"/>
      <c r="AB348" s="335"/>
      <c r="AC348" s="327"/>
      <c r="AD348" s="327"/>
      <c r="AE348" s="327"/>
      <c r="AF348" s="327"/>
      <c r="AG348" s="327"/>
      <c r="AH348" s="327"/>
      <c r="AI348" s="327"/>
      <c r="AJ348" s="327"/>
      <c r="AK348" s="336"/>
      <c r="AL348" s="42"/>
    </row>
    <row r="349" spans="2:38" x14ac:dyDescent="0.25">
      <c r="B349" s="327"/>
      <c r="C349" s="327"/>
      <c r="D349" s="327"/>
      <c r="E349" s="327"/>
      <c r="F349" s="327"/>
      <c r="G349" s="327"/>
      <c r="H349" s="312"/>
      <c r="I349" s="327"/>
      <c r="J349" s="327"/>
      <c r="K349" s="334"/>
      <c r="L349" s="322"/>
      <c r="M349" s="322"/>
      <c r="N349" s="327"/>
      <c r="O349" s="327"/>
      <c r="P349" s="331"/>
      <c r="Q349" s="327"/>
      <c r="R349" s="276"/>
      <c r="S349" s="322"/>
      <c r="T349" s="322"/>
      <c r="U349" s="327"/>
      <c r="V349" s="335"/>
      <c r="W349" s="327"/>
      <c r="X349" s="327"/>
      <c r="Y349" s="327"/>
      <c r="Z349" s="107"/>
      <c r="AA349" s="335"/>
      <c r="AB349" s="335"/>
      <c r="AC349" s="327"/>
      <c r="AD349" s="327"/>
      <c r="AE349" s="327"/>
      <c r="AF349" s="327"/>
      <c r="AG349" s="327"/>
      <c r="AH349" s="327"/>
      <c r="AI349" s="327"/>
      <c r="AJ349" s="327"/>
      <c r="AK349" s="336"/>
      <c r="AL349" s="42"/>
    </row>
    <row r="350" spans="2:38" x14ac:dyDescent="0.25">
      <c r="B350" s="327"/>
      <c r="C350" s="327"/>
      <c r="D350" s="327"/>
      <c r="E350" s="327"/>
      <c r="F350" s="327"/>
      <c r="G350" s="327"/>
      <c r="H350" s="312"/>
      <c r="I350" s="327"/>
      <c r="J350" s="327"/>
      <c r="K350" s="334"/>
      <c r="L350" s="322"/>
      <c r="M350" s="322"/>
      <c r="N350" s="327"/>
      <c r="O350" s="327"/>
      <c r="P350" s="331"/>
      <c r="Q350" s="327"/>
      <c r="R350" s="276"/>
      <c r="S350" s="322"/>
      <c r="T350" s="322"/>
      <c r="U350" s="327"/>
      <c r="V350" s="335"/>
      <c r="W350" s="327"/>
      <c r="X350" s="327"/>
      <c r="Y350" s="327"/>
      <c r="Z350" s="107"/>
      <c r="AA350" s="335"/>
      <c r="AB350" s="335"/>
      <c r="AC350" s="327"/>
      <c r="AD350" s="327"/>
      <c r="AE350" s="327"/>
      <c r="AF350" s="327"/>
      <c r="AG350" s="327"/>
      <c r="AH350" s="327"/>
      <c r="AI350" s="327"/>
      <c r="AJ350" s="327"/>
      <c r="AK350" s="336"/>
      <c r="AL350" s="42"/>
    </row>
    <row r="351" spans="2:38" x14ac:dyDescent="0.25">
      <c r="B351" s="327"/>
      <c r="C351" s="327"/>
      <c r="D351" s="327"/>
      <c r="E351" s="327"/>
      <c r="F351" s="327"/>
      <c r="G351" s="327"/>
      <c r="H351" s="312"/>
      <c r="I351" s="327"/>
      <c r="J351" s="327"/>
      <c r="K351" s="334"/>
      <c r="L351" s="322"/>
      <c r="M351" s="322"/>
      <c r="N351" s="327"/>
      <c r="O351" s="327"/>
      <c r="P351" s="331"/>
      <c r="Q351" s="327"/>
      <c r="R351" s="276"/>
      <c r="S351" s="322"/>
      <c r="T351" s="322"/>
      <c r="U351" s="327"/>
      <c r="V351" s="335"/>
      <c r="W351" s="327"/>
      <c r="X351" s="327"/>
      <c r="Y351" s="327"/>
      <c r="Z351" s="107"/>
      <c r="AA351" s="335"/>
      <c r="AB351" s="335"/>
      <c r="AC351" s="327"/>
      <c r="AD351" s="327"/>
      <c r="AE351" s="327"/>
      <c r="AF351" s="327"/>
      <c r="AG351" s="327"/>
      <c r="AH351" s="327"/>
      <c r="AI351" s="327"/>
      <c r="AJ351" s="327"/>
      <c r="AK351" s="336"/>
      <c r="AL351" s="42"/>
    </row>
    <row r="352" spans="2:38" x14ac:dyDescent="0.25">
      <c r="B352" s="327"/>
      <c r="C352" s="327"/>
      <c r="D352" s="327"/>
      <c r="E352" s="327"/>
      <c r="F352" s="327"/>
      <c r="G352" s="327"/>
      <c r="H352" s="312"/>
      <c r="I352" s="327"/>
      <c r="J352" s="327"/>
      <c r="K352" s="334"/>
      <c r="L352" s="322"/>
      <c r="M352" s="322"/>
      <c r="N352" s="327"/>
      <c r="O352" s="327"/>
      <c r="P352" s="331"/>
      <c r="Q352" s="327"/>
      <c r="R352" s="276"/>
      <c r="S352" s="322"/>
      <c r="T352" s="322"/>
      <c r="U352" s="327"/>
      <c r="V352" s="335"/>
      <c r="W352" s="327"/>
      <c r="X352" s="327"/>
      <c r="Y352" s="327"/>
      <c r="Z352" s="107"/>
      <c r="AA352" s="335"/>
      <c r="AB352" s="335"/>
      <c r="AC352" s="327"/>
      <c r="AD352" s="327"/>
      <c r="AE352" s="327"/>
      <c r="AF352" s="327"/>
      <c r="AG352" s="327"/>
      <c r="AH352" s="327"/>
      <c r="AI352" s="327"/>
      <c r="AJ352" s="327"/>
      <c r="AK352" s="336"/>
      <c r="AL352" s="42"/>
    </row>
    <row r="353" spans="2:38" x14ac:dyDescent="0.25">
      <c r="B353" s="327"/>
      <c r="C353" s="327"/>
      <c r="D353" s="327"/>
      <c r="E353" s="327"/>
      <c r="F353" s="327"/>
      <c r="G353" s="327"/>
      <c r="H353" s="312"/>
      <c r="I353" s="327"/>
      <c r="J353" s="327"/>
      <c r="K353" s="334"/>
      <c r="L353" s="322"/>
      <c r="M353" s="322"/>
      <c r="N353" s="327"/>
      <c r="O353" s="327"/>
      <c r="P353" s="331"/>
      <c r="Q353" s="327"/>
      <c r="R353" s="276"/>
      <c r="S353" s="322"/>
      <c r="T353" s="322"/>
      <c r="U353" s="327"/>
      <c r="V353" s="335"/>
      <c r="W353" s="327"/>
      <c r="X353" s="327"/>
      <c r="Y353" s="327"/>
      <c r="Z353" s="107"/>
      <c r="AA353" s="335"/>
      <c r="AB353" s="335"/>
      <c r="AC353" s="327"/>
      <c r="AD353" s="327"/>
      <c r="AE353" s="327"/>
      <c r="AF353" s="327"/>
      <c r="AG353" s="327"/>
      <c r="AH353" s="327"/>
      <c r="AI353" s="327"/>
      <c r="AJ353" s="327"/>
      <c r="AK353" s="336"/>
      <c r="AL353" s="42"/>
    </row>
    <row r="354" spans="2:38" x14ac:dyDescent="0.25">
      <c r="B354" s="327"/>
      <c r="C354" s="327"/>
      <c r="D354" s="327"/>
      <c r="E354" s="327"/>
      <c r="F354" s="327"/>
      <c r="G354" s="327"/>
      <c r="H354" s="312"/>
      <c r="I354" s="327"/>
      <c r="J354" s="327"/>
      <c r="K354" s="334"/>
      <c r="L354" s="322"/>
      <c r="M354" s="322"/>
      <c r="N354" s="327"/>
      <c r="O354" s="327"/>
      <c r="P354" s="331"/>
      <c r="Q354" s="327"/>
      <c r="R354" s="276"/>
      <c r="S354" s="322"/>
      <c r="T354" s="322"/>
      <c r="U354" s="327"/>
      <c r="V354" s="335"/>
      <c r="W354" s="327"/>
      <c r="X354" s="327"/>
      <c r="Y354" s="327"/>
      <c r="Z354" s="107"/>
      <c r="AA354" s="335"/>
      <c r="AB354" s="335"/>
      <c r="AC354" s="327"/>
      <c r="AD354" s="327"/>
      <c r="AE354" s="327"/>
      <c r="AF354" s="327"/>
      <c r="AG354" s="327"/>
      <c r="AH354" s="327"/>
      <c r="AI354" s="327"/>
      <c r="AJ354" s="327"/>
      <c r="AK354" s="336"/>
      <c r="AL354" s="42"/>
    </row>
    <row r="355" spans="2:38" x14ac:dyDescent="0.25">
      <c r="B355" s="327"/>
      <c r="C355" s="327"/>
      <c r="D355" s="327"/>
      <c r="E355" s="327"/>
      <c r="F355" s="327"/>
      <c r="G355" s="327"/>
      <c r="H355" s="312"/>
      <c r="I355" s="327"/>
      <c r="J355" s="327"/>
      <c r="K355" s="334"/>
      <c r="L355" s="322"/>
      <c r="M355" s="322"/>
      <c r="N355" s="327"/>
      <c r="O355" s="327"/>
      <c r="P355" s="331"/>
      <c r="Q355" s="327"/>
      <c r="R355" s="276"/>
      <c r="S355" s="322"/>
      <c r="T355" s="322"/>
      <c r="U355" s="327"/>
      <c r="V355" s="335"/>
      <c r="W355" s="327"/>
      <c r="X355" s="327"/>
      <c r="Y355" s="327"/>
      <c r="Z355" s="107"/>
      <c r="AA355" s="335"/>
      <c r="AB355" s="335"/>
      <c r="AC355" s="327"/>
      <c r="AD355" s="327"/>
      <c r="AE355" s="327"/>
      <c r="AF355" s="327"/>
      <c r="AG355" s="327"/>
      <c r="AH355" s="327"/>
      <c r="AI355" s="327"/>
      <c r="AJ355" s="327"/>
      <c r="AK355" s="336"/>
      <c r="AL355" s="42"/>
    </row>
    <row r="356" spans="2:38" x14ac:dyDescent="0.25">
      <c r="B356" s="327"/>
      <c r="C356" s="327"/>
      <c r="D356" s="327"/>
      <c r="E356" s="327"/>
      <c r="F356" s="327"/>
      <c r="G356" s="327"/>
      <c r="H356" s="312"/>
      <c r="I356" s="327"/>
      <c r="J356" s="327"/>
      <c r="K356" s="334"/>
      <c r="L356" s="322"/>
      <c r="M356" s="322"/>
      <c r="N356" s="327"/>
      <c r="O356" s="327"/>
      <c r="P356" s="331"/>
      <c r="Q356" s="327"/>
      <c r="R356" s="276"/>
      <c r="S356" s="322"/>
      <c r="T356" s="322"/>
      <c r="U356" s="327"/>
      <c r="V356" s="335"/>
      <c r="W356" s="327"/>
      <c r="X356" s="327"/>
      <c r="Y356" s="327"/>
      <c r="Z356" s="107"/>
      <c r="AA356" s="335"/>
      <c r="AB356" s="335"/>
      <c r="AC356" s="327"/>
      <c r="AD356" s="327"/>
      <c r="AE356" s="327"/>
      <c r="AF356" s="327"/>
      <c r="AG356" s="327"/>
      <c r="AH356" s="327"/>
      <c r="AI356" s="327"/>
      <c r="AJ356" s="327"/>
      <c r="AK356" s="336"/>
      <c r="AL356" s="42"/>
    </row>
    <row r="357" spans="2:38" x14ac:dyDescent="0.25">
      <c r="B357" s="327"/>
      <c r="C357" s="327"/>
      <c r="D357" s="327"/>
      <c r="E357" s="327"/>
      <c r="F357" s="327"/>
      <c r="G357" s="327"/>
      <c r="H357" s="312"/>
      <c r="I357" s="327"/>
      <c r="J357" s="327"/>
      <c r="K357" s="334"/>
      <c r="L357" s="322"/>
      <c r="M357" s="322"/>
      <c r="N357" s="327"/>
      <c r="O357" s="327"/>
      <c r="P357" s="331"/>
      <c r="Q357" s="327"/>
      <c r="R357" s="276"/>
      <c r="S357" s="322"/>
      <c r="T357" s="322"/>
      <c r="U357" s="327"/>
      <c r="V357" s="335"/>
      <c r="W357" s="327"/>
      <c r="X357" s="327"/>
      <c r="Y357" s="327"/>
      <c r="Z357" s="107"/>
      <c r="AA357" s="335"/>
      <c r="AB357" s="335"/>
      <c r="AC357" s="327"/>
      <c r="AD357" s="327"/>
      <c r="AE357" s="327"/>
      <c r="AF357" s="327"/>
      <c r="AG357" s="327"/>
      <c r="AH357" s="327"/>
      <c r="AI357" s="327"/>
      <c r="AJ357" s="327"/>
      <c r="AK357" s="336"/>
      <c r="AL357" s="42"/>
    </row>
    <row r="358" spans="2:38" x14ac:dyDescent="0.25">
      <c r="B358" s="327"/>
      <c r="C358" s="327"/>
      <c r="D358" s="327"/>
      <c r="E358" s="327"/>
      <c r="F358" s="327"/>
      <c r="G358" s="327"/>
      <c r="H358" s="312"/>
      <c r="I358" s="327"/>
      <c r="J358" s="327"/>
      <c r="K358" s="334"/>
      <c r="L358" s="322"/>
      <c r="M358" s="322"/>
      <c r="N358" s="327"/>
      <c r="O358" s="327"/>
      <c r="P358" s="331"/>
      <c r="Q358" s="327"/>
      <c r="R358" s="276"/>
      <c r="S358" s="322"/>
      <c r="T358" s="322"/>
      <c r="U358" s="327"/>
      <c r="V358" s="335"/>
      <c r="W358" s="327"/>
      <c r="X358" s="327"/>
      <c r="Y358" s="327"/>
      <c r="Z358" s="107"/>
      <c r="AA358" s="335"/>
      <c r="AB358" s="335"/>
      <c r="AC358" s="327"/>
      <c r="AD358" s="327"/>
      <c r="AE358" s="327"/>
      <c r="AF358" s="327"/>
      <c r="AG358" s="327"/>
      <c r="AH358" s="327"/>
      <c r="AI358" s="327"/>
      <c r="AJ358" s="327"/>
      <c r="AK358" s="336"/>
      <c r="AL358" s="42"/>
    </row>
    <row r="359" spans="2:38" x14ac:dyDescent="0.25">
      <c r="B359" s="327"/>
      <c r="C359" s="327"/>
      <c r="D359" s="327"/>
      <c r="E359" s="327"/>
      <c r="F359" s="327"/>
      <c r="G359" s="327"/>
      <c r="H359" s="312"/>
      <c r="I359" s="327"/>
      <c r="J359" s="327"/>
      <c r="K359" s="334"/>
      <c r="L359" s="322"/>
      <c r="M359" s="322"/>
      <c r="N359" s="327"/>
      <c r="O359" s="327"/>
      <c r="P359" s="331"/>
      <c r="Q359" s="327"/>
      <c r="R359" s="276"/>
      <c r="S359" s="322"/>
      <c r="T359" s="322"/>
      <c r="U359" s="327"/>
      <c r="V359" s="335"/>
      <c r="W359" s="327"/>
      <c r="X359" s="327"/>
      <c r="Y359" s="327"/>
      <c r="Z359" s="107"/>
      <c r="AA359" s="335"/>
      <c r="AB359" s="335"/>
      <c r="AC359" s="327"/>
      <c r="AD359" s="327"/>
      <c r="AE359" s="327"/>
      <c r="AF359" s="327"/>
      <c r="AG359" s="327"/>
      <c r="AH359" s="327"/>
      <c r="AI359" s="327"/>
      <c r="AJ359" s="327"/>
      <c r="AK359" s="336"/>
      <c r="AL359" s="42"/>
    </row>
    <row r="360" spans="2:38" x14ac:dyDescent="0.25">
      <c r="B360" s="327"/>
      <c r="C360" s="327"/>
      <c r="D360" s="327"/>
      <c r="E360" s="327"/>
      <c r="F360" s="327"/>
      <c r="G360" s="327"/>
      <c r="H360" s="312"/>
      <c r="I360" s="327"/>
      <c r="J360" s="327"/>
      <c r="K360" s="334"/>
      <c r="L360" s="322"/>
      <c r="M360" s="322"/>
      <c r="N360" s="327"/>
      <c r="O360" s="327"/>
      <c r="P360" s="331"/>
      <c r="Q360" s="327"/>
      <c r="R360" s="276"/>
      <c r="S360" s="322"/>
      <c r="T360" s="322"/>
      <c r="U360" s="327"/>
      <c r="V360" s="335"/>
      <c r="W360" s="327"/>
      <c r="X360" s="327"/>
      <c r="Y360" s="327"/>
      <c r="Z360" s="107"/>
      <c r="AA360" s="335"/>
      <c r="AB360" s="335"/>
      <c r="AC360" s="327"/>
      <c r="AD360" s="327"/>
      <c r="AE360" s="327"/>
      <c r="AF360" s="327"/>
      <c r="AG360" s="327"/>
      <c r="AH360" s="327"/>
      <c r="AI360" s="327"/>
      <c r="AJ360" s="327"/>
      <c r="AK360" s="336"/>
      <c r="AL360" s="42"/>
    </row>
    <row r="361" spans="2:38" x14ac:dyDescent="0.25">
      <c r="B361" s="327"/>
      <c r="C361" s="327"/>
      <c r="D361" s="327"/>
      <c r="E361" s="327"/>
      <c r="F361" s="327"/>
      <c r="G361" s="327"/>
      <c r="H361" s="312"/>
      <c r="I361" s="327"/>
      <c r="J361" s="327"/>
      <c r="K361" s="334"/>
      <c r="L361" s="322"/>
      <c r="M361" s="322"/>
      <c r="N361" s="327"/>
      <c r="O361" s="327"/>
      <c r="P361" s="331"/>
      <c r="Q361" s="327"/>
      <c r="R361" s="276"/>
      <c r="S361" s="322"/>
      <c r="T361" s="322"/>
      <c r="U361" s="327"/>
      <c r="V361" s="335"/>
      <c r="W361" s="327"/>
      <c r="X361" s="327"/>
      <c r="Y361" s="327"/>
      <c r="Z361" s="107"/>
      <c r="AA361" s="335"/>
      <c r="AB361" s="335"/>
      <c r="AC361" s="327"/>
      <c r="AD361" s="327"/>
      <c r="AE361" s="327"/>
      <c r="AF361" s="327"/>
      <c r="AG361" s="327"/>
      <c r="AH361" s="327"/>
      <c r="AI361" s="327"/>
      <c r="AJ361" s="327"/>
      <c r="AK361" s="336"/>
      <c r="AL361" s="42"/>
    </row>
    <row r="362" spans="2:38" x14ac:dyDescent="0.25">
      <c r="B362" s="327"/>
      <c r="C362" s="327"/>
      <c r="D362" s="327"/>
      <c r="E362" s="327"/>
      <c r="F362" s="327"/>
      <c r="G362" s="327"/>
      <c r="H362" s="312"/>
      <c r="I362" s="327"/>
      <c r="J362" s="327"/>
      <c r="K362" s="334"/>
      <c r="L362" s="322"/>
      <c r="M362" s="322"/>
      <c r="N362" s="327"/>
      <c r="O362" s="327"/>
      <c r="P362" s="331"/>
      <c r="Q362" s="327"/>
      <c r="R362" s="276"/>
      <c r="S362" s="322"/>
      <c r="T362" s="322"/>
      <c r="U362" s="327"/>
      <c r="V362" s="335"/>
      <c r="W362" s="327"/>
      <c r="X362" s="327"/>
      <c r="Y362" s="327"/>
      <c r="Z362" s="107"/>
      <c r="AA362" s="335"/>
      <c r="AB362" s="335"/>
      <c r="AC362" s="327"/>
      <c r="AD362" s="327"/>
      <c r="AE362" s="327"/>
      <c r="AF362" s="327"/>
      <c r="AG362" s="327"/>
      <c r="AH362" s="327"/>
      <c r="AI362" s="327"/>
      <c r="AJ362" s="327"/>
      <c r="AK362" s="336"/>
      <c r="AL362" s="42"/>
    </row>
    <row r="363" spans="2:38" x14ac:dyDescent="0.25">
      <c r="B363" s="327"/>
      <c r="C363" s="327"/>
      <c r="D363" s="327"/>
      <c r="E363" s="327"/>
      <c r="F363" s="327"/>
      <c r="G363" s="327"/>
      <c r="H363" s="312"/>
      <c r="I363" s="327"/>
      <c r="J363" s="327"/>
      <c r="K363" s="334"/>
      <c r="L363" s="322"/>
      <c r="M363" s="322"/>
      <c r="N363" s="327"/>
      <c r="O363" s="327"/>
      <c r="P363" s="331"/>
      <c r="Q363" s="327"/>
      <c r="R363" s="276"/>
      <c r="S363" s="322"/>
      <c r="T363" s="322"/>
      <c r="U363" s="327"/>
      <c r="V363" s="335"/>
      <c r="W363" s="327"/>
      <c r="X363" s="327"/>
      <c r="Y363" s="327"/>
      <c r="Z363" s="107"/>
      <c r="AA363" s="335"/>
      <c r="AB363" s="335"/>
      <c r="AC363" s="327"/>
      <c r="AD363" s="327"/>
      <c r="AE363" s="327"/>
      <c r="AF363" s="327"/>
      <c r="AG363" s="327"/>
      <c r="AH363" s="327"/>
      <c r="AI363" s="327"/>
      <c r="AJ363" s="327"/>
      <c r="AK363" s="336"/>
      <c r="AL363" s="42"/>
    </row>
    <row r="364" spans="2:38" x14ac:dyDescent="0.25">
      <c r="B364" s="327"/>
      <c r="C364" s="327"/>
      <c r="D364" s="327"/>
      <c r="E364" s="327"/>
      <c r="F364" s="327"/>
      <c r="G364" s="327"/>
      <c r="H364" s="312"/>
      <c r="I364" s="327"/>
      <c r="J364" s="327"/>
      <c r="K364" s="334"/>
      <c r="L364" s="322"/>
      <c r="M364" s="322"/>
      <c r="N364" s="327"/>
      <c r="O364" s="327"/>
      <c r="P364" s="331"/>
      <c r="Q364" s="327"/>
      <c r="R364" s="276"/>
      <c r="S364" s="322"/>
      <c r="T364" s="322"/>
      <c r="U364" s="327"/>
      <c r="V364" s="335"/>
      <c r="W364" s="327"/>
      <c r="X364" s="327"/>
      <c r="Y364" s="327"/>
      <c r="Z364" s="107"/>
      <c r="AA364" s="335"/>
      <c r="AB364" s="335"/>
      <c r="AC364" s="327"/>
      <c r="AD364" s="327"/>
      <c r="AE364" s="327"/>
      <c r="AF364" s="327"/>
      <c r="AG364" s="327"/>
      <c r="AH364" s="327"/>
      <c r="AI364" s="327"/>
      <c r="AJ364" s="327"/>
      <c r="AK364" s="336"/>
      <c r="AL364" s="42"/>
    </row>
    <row r="365" spans="2:38" x14ac:dyDescent="0.25">
      <c r="B365" s="327"/>
      <c r="C365" s="327"/>
      <c r="D365" s="327"/>
      <c r="E365" s="327"/>
      <c r="F365" s="327"/>
      <c r="G365" s="327"/>
      <c r="H365" s="312"/>
      <c r="I365" s="327"/>
      <c r="J365" s="327"/>
      <c r="K365" s="334"/>
      <c r="L365" s="322"/>
      <c r="M365" s="322"/>
      <c r="N365" s="327"/>
      <c r="O365" s="327"/>
      <c r="P365" s="331"/>
      <c r="Q365" s="327"/>
      <c r="R365" s="276"/>
      <c r="S365" s="322"/>
      <c r="T365" s="322"/>
      <c r="U365" s="327"/>
      <c r="V365" s="335"/>
      <c r="W365" s="327"/>
      <c r="X365" s="327"/>
      <c r="Y365" s="327"/>
      <c r="Z365" s="107"/>
      <c r="AA365" s="335"/>
      <c r="AB365" s="335"/>
      <c r="AC365" s="327"/>
      <c r="AD365" s="327"/>
      <c r="AE365" s="327"/>
      <c r="AF365" s="327"/>
      <c r="AG365" s="327"/>
      <c r="AH365" s="327"/>
      <c r="AI365" s="327"/>
      <c r="AJ365" s="327"/>
      <c r="AK365" s="336"/>
      <c r="AL365" s="42"/>
    </row>
    <row r="366" spans="2:38" x14ac:dyDescent="0.25">
      <c r="B366" s="327"/>
      <c r="C366" s="327"/>
      <c r="D366" s="327"/>
      <c r="E366" s="327"/>
      <c r="F366" s="327"/>
      <c r="G366" s="327"/>
      <c r="H366" s="312"/>
      <c r="I366" s="327"/>
      <c r="J366" s="327"/>
      <c r="K366" s="334"/>
      <c r="L366" s="322"/>
      <c r="M366" s="322"/>
      <c r="N366" s="327"/>
      <c r="O366" s="327"/>
      <c r="P366" s="331"/>
      <c r="Q366" s="327"/>
      <c r="R366" s="276"/>
      <c r="S366" s="322"/>
      <c r="T366" s="322"/>
      <c r="U366" s="327"/>
      <c r="V366" s="335"/>
      <c r="W366" s="327"/>
      <c r="X366" s="327"/>
      <c r="Y366" s="327"/>
      <c r="Z366" s="107"/>
      <c r="AA366" s="335"/>
      <c r="AB366" s="335"/>
      <c r="AC366" s="327"/>
      <c r="AD366" s="327"/>
      <c r="AE366" s="327"/>
      <c r="AF366" s="327"/>
      <c r="AG366" s="327"/>
      <c r="AH366" s="327"/>
      <c r="AI366" s="327"/>
      <c r="AJ366" s="327"/>
      <c r="AK366" s="336"/>
      <c r="AL366" s="42"/>
    </row>
    <row r="367" spans="2:38" x14ac:dyDescent="0.25">
      <c r="B367" s="327"/>
      <c r="C367" s="327"/>
      <c r="D367" s="327"/>
      <c r="E367" s="327"/>
      <c r="F367" s="327"/>
      <c r="G367" s="327"/>
      <c r="H367" s="312"/>
      <c r="I367" s="327"/>
      <c r="J367" s="327"/>
      <c r="K367" s="334"/>
      <c r="L367" s="322"/>
      <c r="M367" s="322"/>
      <c r="N367" s="327"/>
      <c r="O367" s="327"/>
      <c r="P367" s="331"/>
      <c r="Q367" s="327"/>
      <c r="R367" s="276"/>
      <c r="S367" s="322"/>
      <c r="T367" s="322"/>
      <c r="U367" s="327"/>
      <c r="V367" s="335"/>
      <c r="W367" s="327"/>
      <c r="X367" s="327"/>
      <c r="Y367" s="327"/>
      <c r="Z367" s="107"/>
      <c r="AA367" s="335"/>
      <c r="AB367" s="335"/>
      <c r="AC367" s="327"/>
      <c r="AD367" s="327"/>
      <c r="AE367" s="327"/>
      <c r="AF367" s="327"/>
      <c r="AG367" s="327"/>
      <c r="AH367" s="327"/>
      <c r="AI367" s="327"/>
      <c r="AJ367" s="327"/>
      <c r="AK367" s="336"/>
      <c r="AL367" s="42"/>
    </row>
    <row r="368" spans="2:38" x14ac:dyDescent="0.25">
      <c r="B368" s="327"/>
      <c r="C368" s="327"/>
      <c r="D368" s="327"/>
      <c r="E368" s="327"/>
      <c r="F368" s="327"/>
      <c r="G368" s="327"/>
      <c r="H368" s="312"/>
      <c r="I368" s="327"/>
      <c r="J368" s="327"/>
      <c r="K368" s="334"/>
      <c r="L368" s="322"/>
      <c r="M368" s="322"/>
      <c r="N368" s="327"/>
      <c r="O368" s="327"/>
      <c r="P368" s="331"/>
      <c r="Q368" s="327"/>
      <c r="R368" s="276"/>
      <c r="S368" s="322"/>
      <c r="T368" s="322"/>
      <c r="U368" s="327"/>
      <c r="V368" s="335"/>
      <c r="W368" s="327"/>
      <c r="X368" s="327"/>
      <c r="Y368" s="327"/>
      <c r="Z368" s="107"/>
      <c r="AA368" s="335"/>
      <c r="AB368" s="335"/>
      <c r="AC368" s="327"/>
      <c r="AD368" s="327"/>
      <c r="AE368" s="327"/>
      <c r="AF368" s="327"/>
      <c r="AG368" s="327"/>
      <c r="AH368" s="327"/>
      <c r="AI368" s="327"/>
      <c r="AJ368" s="327"/>
      <c r="AK368" s="336"/>
      <c r="AL368" s="42"/>
    </row>
    <row r="369" spans="2:38" x14ac:dyDescent="0.25">
      <c r="B369" s="327"/>
      <c r="C369" s="327"/>
      <c r="D369" s="327"/>
      <c r="E369" s="327"/>
      <c r="F369" s="327"/>
      <c r="G369" s="327"/>
      <c r="H369" s="312"/>
      <c r="I369" s="327"/>
      <c r="J369" s="327"/>
      <c r="K369" s="334"/>
      <c r="L369" s="322"/>
      <c r="M369" s="322"/>
      <c r="N369" s="327"/>
      <c r="O369" s="327"/>
      <c r="P369" s="331"/>
      <c r="Q369" s="327"/>
      <c r="R369" s="276"/>
      <c r="S369" s="322"/>
      <c r="T369" s="322"/>
      <c r="U369" s="327"/>
      <c r="V369" s="335"/>
      <c r="W369" s="327"/>
      <c r="X369" s="327"/>
      <c r="Y369" s="327"/>
      <c r="Z369" s="107"/>
      <c r="AA369" s="335"/>
      <c r="AB369" s="335"/>
      <c r="AC369" s="327"/>
      <c r="AD369" s="327"/>
      <c r="AE369" s="327"/>
      <c r="AF369" s="327"/>
      <c r="AG369" s="327"/>
      <c r="AH369" s="327"/>
      <c r="AI369" s="327"/>
      <c r="AJ369" s="327"/>
      <c r="AK369" s="336"/>
      <c r="AL369" s="42"/>
    </row>
    <row r="370" spans="2:38" x14ac:dyDescent="0.25">
      <c r="B370" s="327"/>
      <c r="C370" s="327"/>
      <c r="D370" s="327"/>
      <c r="E370" s="327"/>
      <c r="F370" s="327"/>
      <c r="G370" s="327"/>
      <c r="H370" s="312"/>
      <c r="I370" s="327"/>
      <c r="J370" s="327"/>
      <c r="K370" s="334"/>
      <c r="L370" s="322"/>
      <c r="M370" s="322"/>
      <c r="N370" s="327"/>
      <c r="O370" s="327"/>
      <c r="P370" s="331"/>
      <c r="Q370" s="327"/>
      <c r="R370" s="276"/>
      <c r="S370" s="322"/>
      <c r="T370" s="322"/>
      <c r="U370" s="327"/>
      <c r="V370" s="335"/>
      <c r="W370" s="327"/>
      <c r="X370" s="327"/>
      <c r="Y370" s="327"/>
      <c r="Z370" s="107"/>
      <c r="AA370" s="335"/>
      <c r="AB370" s="335"/>
      <c r="AC370" s="327"/>
      <c r="AD370" s="327"/>
      <c r="AE370" s="327"/>
      <c r="AF370" s="327"/>
      <c r="AG370" s="327"/>
      <c r="AH370" s="327"/>
      <c r="AI370" s="327"/>
      <c r="AJ370" s="327"/>
      <c r="AK370" s="336"/>
      <c r="AL370" s="42"/>
    </row>
    <row r="371" spans="2:38" x14ac:dyDescent="0.25">
      <c r="B371" s="327"/>
      <c r="C371" s="327"/>
      <c r="D371" s="327"/>
      <c r="E371" s="327"/>
      <c r="F371" s="327"/>
      <c r="G371" s="327"/>
      <c r="H371" s="312"/>
      <c r="I371" s="327"/>
      <c r="J371" s="327"/>
      <c r="K371" s="334"/>
      <c r="L371" s="322"/>
      <c r="M371" s="322"/>
      <c r="N371" s="327"/>
      <c r="O371" s="327"/>
      <c r="P371" s="331"/>
      <c r="Q371" s="327"/>
      <c r="R371" s="276"/>
      <c r="S371" s="322"/>
      <c r="T371" s="322"/>
      <c r="U371" s="327"/>
      <c r="V371" s="335"/>
      <c r="W371" s="327"/>
      <c r="X371" s="327"/>
      <c r="Y371" s="327"/>
      <c r="Z371" s="107"/>
      <c r="AA371" s="335"/>
      <c r="AB371" s="335"/>
      <c r="AC371" s="327"/>
      <c r="AD371" s="327"/>
      <c r="AE371" s="327"/>
      <c r="AF371" s="327"/>
      <c r="AG371" s="327"/>
      <c r="AH371" s="327"/>
      <c r="AI371" s="327"/>
      <c r="AJ371" s="327"/>
      <c r="AK371" s="336"/>
      <c r="AL371" s="42"/>
    </row>
    <row r="372" spans="2:38" x14ac:dyDescent="0.25">
      <c r="B372" s="327"/>
      <c r="C372" s="327"/>
      <c r="D372" s="327"/>
      <c r="E372" s="327"/>
      <c r="F372" s="327"/>
      <c r="G372" s="327"/>
      <c r="H372" s="312"/>
      <c r="I372" s="327"/>
      <c r="J372" s="327"/>
      <c r="K372" s="334"/>
      <c r="L372" s="322"/>
      <c r="M372" s="322"/>
      <c r="N372" s="327"/>
      <c r="O372" s="327"/>
      <c r="P372" s="331"/>
      <c r="Q372" s="327"/>
      <c r="R372" s="276"/>
      <c r="S372" s="322"/>
      <c r="T372" s="322"/>
      <c r="U372" s="327"/>
      <c r="V372" s="335"/>
      <c r="W372" s="327"/>
      <c r="X372" s="327"/>
      <c r="Y372" s="327"/>
      <c r="Z372" s="107"/>
      <c r="AA372" s="335"/>
      <c r="AB372" s="335"/>
      <c r="AC372" s="327"/>
      <c r="AD372" s="327"/>
      <c r="AE372" s="327"/>
      <c r="AF372" s="327"/>
      <c r="AG372" s="327"/>
      <c r="AH372" s="327"/>
      <c r="AI372" s="327"/>
      <c r="AJ372" s="327"/>
      <c r="AK372" s="336"/>
      <c r="AL372" s="42"/>
    </row>
    <row r="373" spans="2:38" x14ac:dyDescent="0.25">
      <c r="B373" s="327"/>
      <c r="C373" s="327"/>
      <c r="D373" s="327"/>
      <c r="E373" s="327"/>
      <c r="F373" s="327"/>
      <c r="G373" s="327"/>
      <c r="H373" s="312"/>
      <c r="I373" s="327"/>
      <c r="J373" s="327"/>
      <c r="K373" s="334"/>
      <c r="L373" s="322"/>
      <c r="M373" s="322"/>
      <c r="N373" s="327"/>
      <c r="O373" s="327"/>
      <c r="P373" s="331"/>
      <c r="Q373" s="327"/>
      <c r="R373" s="276"/>
      <c r="S373" s="322"/>
      <c r="T373" s="322"/>
      <c r="U373" s="327"/>
      <c r="V373" s="335"/>
      <c r="W373" s="327"/>
      <c r="X373" s="327"/>
      <c r="Y373" s="327"/>
      <c r="Z373" s="107"/>
      <c r="AA373" s="335"/>
      <c r="AB373" s="335"/>
      <c r="AC373" s="327"/>
      <c r="AD373" s="327"/>
      <c r="AE373" s="327"/>
      <c r="AF373" s="327"/>
      <c r="AG373" s="327"/>
      <c r="AH373" s="327"/>
      <c r="AI373" s="327"/>
      <c r="AJ373" s="327"/>
      <c r="AK373" s="336"/>
      <c r="AL373" s="42"/>
    </row>
    <row r="374" spans="2:38" x14ac:dyDescent="0.25">
      <c r="B374" s="327"/>
      <c r="C374" s="327"/>
      <c r="D374" s="327"/>
      <c r="E374" s="327"/>
      <c r="F374" s="327"/>
      <c r="G374" s="327"/>
      <c r="H374" s="312"/>
      <c r="I374" s="327"/>
      <c r="J374" s="327"/>
      <c r="K374" s="334"/>
      <c r="L374" s="322"/>
      <c r="M374" s="322"/>
      <c r="N374" s="327"/>
      <c r="O374" s="327"/>
      <c r="P374" s="331"/>
      <c r="Q374" s="327"/>
      <c r="R374" s="276"/>
      <c r="S374" s="322"/>
      <c r="T374" s="322"/>
      <c r="U374" s="327"/>
      <c r="V374" s="335"/>
      <c r="W374" s="327"/>
      <c r="X374" s="327"/>
      <c r="Y374" s="327"/>
      <c r="Z374" s="107"/>
      <c r="AA374" s="335"/>
      <c r="AB374" s="335"/>
      <c r="AC374" s="327"/>
      <c r="AD374" s="327"/>
      <c r="AE374" s="327"/>
      <c r="AF374" s="327"/>
      <c r="AG374" s="327"/>
      <c r="AH374" s="327"/>
      <c r="AI374" s="327"/>
      <c r="AJ374" s="327"/>
      <c r="AK374" s="336"/>
      <c r="AL374" s="42"/>
    </row>
    <row r="375" spans="2:38" x14ac:dyDescent="0.25">
      <c r="B375" s="327"/>
      <c r="C375" s="327"/>
      <c r="D375" s="327"/>
      <c r="E375" s="327"/>
      <c r="F375" s="327"/>
      <c r="G375" s="327"/>
      <c r="H375" s="312"/>
      <c r="I375" s="327"/>
      <c r="J375" s="327"/>
      <c r="K375" s="334"/>
      <c r="L375" s="322"/>
      <c r="M375" s="322"/>
      <c r="N375" s="327"/>
      <c r="O375" s="327"/>
      <c r="P375" s="331"/>
      <c r="Q375" s="327"/>
      <c r="R375" s="276"/>
      <c r="S375" s="322"/>
      <c r="T375" s="322"/>
      <c r="U375" s="327"/>
      <c r="V375" s="335"/>
      <c r="W375" s="327"/>
      <c r="X375" s="327"/>
      <c r="Y375" s="327"/>
      <c r="Z375" s="107"/>
      <c r="AA375" s="335"/>
      <c r="AB375" s="335"/>
      <c r="AC375" s="327"/>
      <c r="AD375" s="327"/>
      <c r="AE375" s="327"/>
      <c r="AF375" s="327"/>
      <c r="AG375" s="327"/>
      <c r="AH375" s="327"/>
      <c r="AI375" s="327"/>
      <c r="AJ375" s="327"/>
      <c r="AK375" s="336"/>
      <c r="AL375" s="42"/>
    </row>
    <row r="376" spans="2:38" x14ac:dyDescent="0.25">
      <c r="B376" s="327"/>
      <c r="C376" s="327"/>
      <c r="D376" s="327"/>
      <c r="E376" s="327"/>
      <c r="F376" s="327"/>
      <c r="G376" s="327"/>
      <c r="H376" s="312"/>
      <c r="I376" s="327"/>
      <c r="J376" s="327"/>
      <c r="K376" s="334"/>
      <c r="L376" s="322"/>
      <c r="M376" s="322"/>
      <c r="N376" s="327"/>
      <c r="O376" s="327"/>
      <c r="P376" s="331"/>
      <c r="Q376" s="327"/>
      <c r="R376" s="276"/>
      <c r="S376" s="322"/>
      <c r="T376" s="322"/>
      <c r="U376" s="327"/>
      <c r="V376" s="335"/>
      <c r="W376" s="327"/>
      <c r="X376" s="327"/>
      <c r="Y376" s="327"/>
      <c r="Z376" s="107"/>
      <c r="AA376" s="335"/>
      <c r="AB376" s="335"/>
      <c r="AC376" s="327"/>
      <c r="AD376" s="327"/>
      <c r="AE376" s="327"/>
      <c r="AF376" s="327"/>
      <c r="AG376" s="327"/>
      <c r="AH376" s="327"/>
      <c r="AI376" s="327"/>
      <c r="AJ376" s="327"/>
      <c r="AK376" s="336"/>
      <c r="AL376" s="42"/>
    </row>
    <row r="377" spans="2:38" x14ac:dyDescent="0.25">
      <c r="B377" s="327"/>
      <c r="C377" s="327"/>
      <c r="D377" s="327"/>
      <c r="E377" s="327"/>
      <c r="F377" s="327"/>
      <c r="G377" s="327"/>
      <c r="H377" s="312"/>
      <c r="I377" s="327"/>
      <c r="J377" s="327"/>
      <c r="K377" s="334"/>
      <c r="L377" s="322"/>
      <c r="M377" s="322"/>
      <c r="N377" s="327"/>
      <c r="O377" s="327"/>
      <c r="P377" s="331"/>
      <c r="Q377" s="327"/>
      <c r="R377" s="276"/>
      <c r="S377" s="322"/>
      <c r="T377" s="322"/>
      <c r="U377" s="327"/>
      <c r="V377" s="335"/>
      <c r="W377" s="327"/>
      <c r="X377" s="327"/>
      <c r="Y377" s="327"/>
      <c r="Z377" s="107"/>
      <c r="AA377" s="335"/>
      <c r="AB377" s="335"/>
      <c r="AC377" s="327"/>
      <c r="AD377" s="327"/>
      <c r="AE377" s="327"/>
      <c r="AF377" s="327"/>
      <c r="AG377" s="327"/>
      <c r="AH377" s="327"/>
      <c r="AI377" s="327"/>
      <c r="AJ377" s="327"/>
      <c r="AK377" s="336"/>
      <c r="AL377" s="42"/>
    </row>
    <row r="378" spans="2:38" x14ac:dyDescent="0.25">
      <c r="B378" s="327"/>
      <c r="C378" s="327"/>
      <c r="D378" s="327"/>
      <c r="E378" s="327"/>
      <c r="F378" s="327"/>
      <c r="G378" s="327"/>
      <c r="H378" s="312"/>
      <c r="I378" s="327"/>
      <c r="J378" s="327"/>
      <c r="K378" s="334"/>
      <c r="L378" s="322"/>
      <c r="M378" s="322"/>
      <c r="N378" s="327"/>
      <c r="O378" s="327"/>
      <c r="P378" s="331"/>
      <c r="Q378" s="327"/>
      <c r="R378" s="276"/>
      <c r="S378" s="322"/>
      <c r="T378" s="322"/>
      <c r="U378" s="327"/>
      <c r="V378" s="335"/>
      <c r="W378" s="327"/>
      <c r="X378" s="327"/>
      <c r="Y378" s="327"/>
      <c r="Z378" s="107"/>
      <c r="AA378" s="335"/>
      <c r="AB378" s="335"/>
      <c r="AC378" s="327"/>
      <c r="AD378" s="327"/>
      <c r="AE378" s="327"/>
      <c r="AF378" s="327"/>
      <c r="AG378" s="327"/>
      <c r="AH378" s="327"/>
      <c r="AI378" s="327"/>
      <c r="AJ378" s="327"/>
      <c r="AK378" s="336"/>
      <c r="AL378" s="42"/>
    </row>
    <row r="379" spans="2:38" x14ac:dyDescent="0.25">
      <c r="B379" s="327"/>
      <c r="C379" s="327"/>
      <c r="D379" s="327"/>
      <c r="E379" s="327"/>
      <c r="F379" s="327"/>
      <c r="G379" s="327"/>
      <c r="H379" s="312"/>
      <c r="I379" s="327"/>
      <c r="J379" s="327"/>
      <c r="K379" s="334"/>
      <c r="L379" s="322"/>
      <c r="M379" s="322"/>
      <c r="N379" s="327"/>
      <c r="O379" s="327"/>
      <c r="P379" s="331"/>
      <c r="Q379" s="327"/>
      <c r="R379" s="276"/>
      <c r="S379" s="322"/>
      <c r="T379" s="322"/>
      <c r="U379" s="327"/>
      <c r="V379" s="335"/>
      <c r="W379" s="327"/>
      <c r="X379" s="327"/>
      <c r="Y379" s="327"/>
      <c r="Z379" s="107"/>
      <c r="AA379" s="335"/>
      <c r="AB379" s="335"/>
      <c r="AC379" s="327"/>
      <c r="AD379" s="327"/>
      <c r="AE379" s="327"/>
      <c r="AF379" s="327"/>
      <c r="AG379" s="327"/>
      <c r="AH379" s="327"/>
      <c r="AI379" s="327"/>
      <c r="AJ379" s="327"/>
      <c r="AK379" s="336"/>
      <c r="AL379" s="42"/>
    </row>
    <row r="380" spans="2:38" x14ac:dyDescent="0.25">
      <c r="B380" s="327"/>
      <c r="C380" s="327"/>
      <c r="D380" s="327"/>
      <c r="E380" s="327"/>
      <c r="F380" s="327"/>
      <c r="G380" s="327"/>
      <c r="H380" s="312"/>
      <c r="I380" s="327"/>
      <c r="J380" s="327"/>
      <c r="K380" s="334"/>
      <c r="L380" s="322"/>
      <c r="M380" s="322"/>
      <c r="N380" s="327"/>
      <c r="O380" s="327"/>
      <c r="P380" s="331"/>
      <c r="Q380" s="327"/>
      <c r="R380" s="276"/>
      <c r="S380" s="322"/>
      <c r="T380" s="322"/>
      <c r="U380" s="327"/>
      <c r="V380" s="335"/>
      <c r="W380" s="327"/>
      <c r="X380" s="327"/>
      <c r="Y380" s="327"/>
      <c r="Z380" s="107"/>
      <c r="AA380" s="335"/>
      <c r="AB380" s="335"/>
      <c r="AC380" s="327"/>
      <c r="AD380" s="327"/>
      <c r="AE380" s="327"/>
      <c r="AF380" s="327"/>
      <c r="AG380" s="327"/>
      <c r="AH380" s="327"/>
      <c r="AI380" s="327"/>
      <c r="AJ380" s="327"/>
      <c r="AK380" s="336"/>
      <c r="AL380" s="42"/>
    </row>
    <row r="381" spans="2:38" x14ac:dyDescent="0.25">
      <c r="B381" s="327"/>
      <c r="C381" s="327"/>
      <c r="D381" s="327"/>
      <c r="E381" s="327"/>
      <c r="F381" s="327"/>
      <c r="G381" s="327"/>
      <c r="H381" s="312"/>
      <c r="I381" s="327"/>
      <c r="J381" s="327"/>
      <c r="K381" s="334"/>
      <c r="L381" s="322"/>
      <c r="M381" s="322"/>
      <c r="N381" s="327"/>
      <c r="O381" s="327"/>
      <c r="P381" s="331"/>
      <c r="Q381" s="327"/>
      <c r="R381" s="276"/>
      <c r="S381" s="322"/>
      <c r="T381" s="322"/>
      <c r="U381" s="327"/>
      <c r="V381" s="335"/>
      <c r="W381" s="327"/>
      <c r="X381" s="327"/>
      <c r="Y381" s="327"/>
      <c r="Z381" s="107"/>
      <c r="AA381" s="335"/>
      <c r="AB381" s="335"/>
      <c r="AC381" s="327"/>
      <c r="AD381" s="327"/>
      <c r="AE381" s="327"/>
      <c r="AF381" s="327"/>
      <c r="AG381" s="327"/>
      <c r="AH381" s="327"/>
      <c r="AI381" s="327"/>
      <c r="AJ381" s="327"/>
      <c r="AK381" s="336"/>
      <c r="AL381" s="42"/>
    </row>
    <row r="382" spans="2:38" x14ac:dyDescent="0.25">
      <c r="B382" s="327"/>
      <c r="C382" s="327"/>
      <c r="D382" s="327"/>
      <c r="E382" s="327"/>
      <c r="F382" s="327"/>
      <c r="G382" s="327"/>
      <c r="H382" s="312"/>
      <c r="I382" s="327"/>
      <c r="J382" s="327"/>
      <c r="K382" s="334"/>
      <c r="L382" s="322"/>
      <c r="M382" s="322"/>
      <c r="N382" s="327"/>
      <c r="O382" s="327"/>
      <c r="P382" s="331"/>
      <c r="Q382" s="327"/>
      <c r="R382" s="276"/>
      <c r="S382" s="322"/>
      <c r="T382" s="322"/>
      <c r="U382" s="327"/>
      <c r="V382" s="335"/>
      <c r="W382" s="327"/>
      <c r="X382" s="327"/>
      <c r="Y382" s="327"/>
      <c r="Z382" s="107"/>
      <c r="AA382" s="335"/>
      <c r="AB382" s="335"/>
      <c r="AC382" s="327"/>
      <c r="AD382" s="327"/>
      <c r="AE382" s="327"/>
      <c r="AF382" s="327"/>
      <c r="AG382" s="327"/>
      <c r="AH382" s="327"/>
      <c r="AI382" s="327"/>
      <c r="AJ382" s="327"/>
      <c r="AK382" s="336"/>
      <c r="AL382" s="42"/>
    </row>
    <row r="383" spans="2:38" x14ac:dyDescent="0.25">
      <c r="B383" s="327"/>
      <c r="C383" s="327"/>
      <c r="D383" s="327"/>
      <c r="E383" s="327"/>
      <c r="F383" s="327"/>
      <c r="G383" s="327"/>
      <c r="H383" s="312"/>
      <c r="I383" s="327"/>
      <c r="J383" s="327"/>
      <c r="K383" s="334"/>
      <c r="L383" s="322"/>
      <c r="M383" s="322"/>
      <c r="N383" s="327"/>
      <c r="O383" s="327"/>
      <c r="P383" s="331"/>
      <c r="Q383" s="327"/>
      <c r="R383" s="276"/>
      <c r="S383" s="322"/>
      <c r="T383" s="322"/>
      <c r="U383" s="327"/>
      <c r="V383" s="335"/>
      <c r="W383" s="327"/>
      <c r="X383" s="327"/>
      <c r="Y383" s="327"/>
      <c r="Z383" s="107"/>
      <c r="AA383" s="335"/>
      <c r="AB383" s="335"/>
      <c r="AC383" s="327"/>
      <c r="AD383" s="327"/>
      <c r="AE383" s="327"/>
      <c r="AF383" s="327"/>
      <c r="AG383" s="327"/>
      <c r="AH383" s="327"/>
      <c r="AI383" s="327"/>
      <c r="AJ383" s="327"/>
      <c r="AK383" s="336"/>
      <c r="AL383" s="42"/>
    </row>
    <row r="384" spans="2:38" x14ac:dyDescent="0.25">
      <c r="B384" s="327"/>
      <c r="C384" s="327"/>
      <c r="D384" s="327"/>
      <c r="E384" s="327"/>
      <c r="F384" s="327"/>
      <c r="G384" s="327"/>
      <c r="H384" s="312"/>
      <c r="I384" s="327"/>
      <c r="J384" s="327"/>
      <c r="K384" s="334"/>
      <c r="L384" s="322"/>
      <c r="M384" s="322"/>
      <c r="N384" s="327"/>
      <c r="O384" s="327"/>
      <c r="P384" s="331"/>
      <c r="Q384" s="327"/>
      <c r="R384" s="276"/>
      <c r="S384" s="322"/>
      <c r="T384" s="322"/>
      <c r="U384" s="327"/>
      <c r="V384" s="335"/>
      <c r="W384" s="327"/>
      <c r="X384" s="327"/>
      <c r="Y384" s="327"/>
      <c r="Z384" s="107"/>
      <c r="AA384" s="335"/>
      <c r="AB384" s="335"/>
      <c r="AC384" s="327"/>
      <c r="AD384" s="327"/>
      <c r="AE384" s="327"/>
      <c r="AF384" s="327"/>
      <c r="AG384" s="327"/>
      <c r="AH384" s="327"/>
      <c r="AI384" s="327"/>
      <c r="AJ384" s="327"/>
      <c r="AK384" s="336"/>
      <c r="AL384" s="42"/>
    </row>
    <row r="385" spans="2:38" x14ac:dyDescent="0.25">
      <c r="B385" s="327"/>
      <c r="C385" s="327"/>
      <c r="D385" s="327"/>
      <c r="E385" s="327"/>
      <c r="F385" s="327"/>
      <c r="G385" s="327"/>
      <c r="H385" s="312"/>
      <c r="I385" s="327"/>
      <c r="J385" s="327"/>
      <c r="K385" s="334"/>
      <c r="L385" s="322"/>
      <c r="M385" s="322"/>
      <c r="N385" s="327"/>
      <c r="O385" s="327"/>
      <c r="P385" s="331"/>
      <c r="Q385" s="327"/>
      <c r="R385" s="276"/>
      <c r="S385" s="322"/>
      <c r="T385" s="322"/>
      <c r="U385" s="327"/>
      <c r="V385" s="335"/>
      <c r="W385" s="327"/>
      <c r="X385" s="327"/>
      <c r="Y385" s="327"/>
      <c r="Z385" s="107"/>
      <c r="AA385" s="335"/>
      <c r="AB385" s="335"/>
      <c r="AC385" s="327"/>
      <c r="AD385" s="327"/>
      <c r="AE385" s="327"/>
      <c r="AF385" s="327"/>
      <c r="AG385" s="327"/>
      <c r="AH385" s="327"/>
      <c r="AI385" s="327"/>
      <c r="AJ385" s="327"/>
      <c r="AK385" s="336"/>
      <c r="AL385" s="42"/>
    </row>
    <row r="386" spans="2:38" x14ac:dyDescent="0.25">
      <c r="B386" s="327"/>
      <c r="C386" s="327"/>
      <c r="D386" s="327"/>
      <c r="E386" s="327"/>
      <c r="F386" s="327"/>
      <c r="G386" s="327"/>
      <c r="H386" s="312"/>
      <c r="I386" s="327"/>
      <c r="J386" s="327"/>
      <c r="K386" s="334"/>
      <c r="L386" s="322"/>
      <c r="M386" s="322"/>
      <c r="N386" s="327"/>
      <c r="O386" s="327"/>
      <c r="P386" s="331"/>
      <c r="Q386" s="327"/>
      <c r="R386" s="276"/>
      <c r="S386" s="322"/>
      <c r="T386" s="322"/>
      <c r="U386" s="327"/>
      <c r="V386" s="335"/>
      <c r="W386" s="327"/>
      <c r="X386" s="327"/>
      <c r="Y386" s="327"/>
      <c r="Z386" s="107"/>
      <c r="AA386" s="335"/>
      <c r="AB386" s="335"/>
      <c r="AC386" s="327"/>
      <c r="AD386" s="327"/>
      <c r="AE386" s="327"/>
      <c r="AF386" s="327"/>
      <c r="AG386" s="327"/>
      <c r="AH386" s="327"/>
      <c r="AI386" s="327"/>
      <c r="AJ386" s="327"/>
      <c r="AK386" s="336"/>
      <c r="AL386" s="42"/>
    </row>
    <row r="387" spans="2:38" x14ac:dyDescent="0.25">
      <c r="B387" s="327"/>
      <c r="C387" s="327"/>
      <c r="D387" s="327"/>
      <c r="E387" s="327"/>
      <c r="F387" s="327"/>
      <c r="G387" s="327"/>
      <c r="H387" s="312"/>
      <c r="I387" s="327"/>
      <c r="J387" s="327"/>
      <c r="K387" s="334"/>
      <c r="L387" s="322"/>
      <c r="M387" s="322"/>
      <c r="N387" s="327"/>
      <c r="O387" s="327"/>
      <c r="P387" s="331"/>
      <c r="Q387" s="327"/>
      <c r="R387" s="276"/>
      <c r="S387" s="322"/>
      <c r="T387" s="322"/>
      <c r="U387" s="327"/>
      <c r="V387" s="335"/>
      <c r="W387" s="327"/>
      <c r="X387" s="327"/>
      <c r="Y387" s="327"/>
      <c r="Z387" s="107"/>
      <c r="AA387" s="335"/>
      <c r="AB387" s="335"/>
      <c r="AC387" s="327"/>
      <c r="AD387" s="327"/>
      <c r="AE387" s="327"/>
      <c r="AF387" s="327"/>
      <c r="AG387" s="327"/>
      <c r="AH387" s="327"/>
      <c r="AI387" s="327"/>
      <c r="AJ387" s="327"/>
      <c r="AK387" s="336"/>
      <c r="AL387" s="42"/>
    </row>
    <row r="388" spans="2:38" x14ac:dyDescent="0.25">
      <c r="B388" s="327"/>
      <c r="C388" s="327"/>
      <c r="D388" s="327"/>
      <c r="E388" s="327"/>
      <c r="F388" s="327"/>
      <c r="G388" s="327"/>
      <c r="H388" s="312"/>
      <c r="I388" s="327"/>
      <c r="J388" s="327"/>
      <c r="K388" s="334"/>
      <c r="L388" s="322"/>
      <c r="M388" s="322"/>
      <c r="N388" s="327"/>
      <c r="O388" s="327"/>
      <c r="P388" s="331"/>
      <c r="Q388" s="327"/>
      <c r="R388" s="276"/>
      <c r="S388" s="322"/>
      <c r="T388" s="322"/>
      <c r="U388" s="327"/>
      <c r="V388" s="335"/>
      <c r="W388" s="327"/>
      <c r="X388" s="327"/>
      <c r="Y388" s="327"/>
      <c r="Z388" s="107"/>
      <c r="AA388" s="335"/>
      <c r="AB388" s="335"/>
      <c r="AC388" s="327"/>
      <c r="AD388" s="327"/>
      <c r="AE388" s="327"/>
      <c r="AF388" s="327"/>
      <c r="AG388" s="327"/>
      <c r="AH388" s="327"/>
      <c r="AI388" s="327"/>
      <c r="AJ388" s="327"/>
      <c r="AK388" s="336"/>
      <c r="AL388" s="42"/>
    </row>
    <row r="389" spans="2:38" x14ac:dyDescent="0.25">
      <c r="B389" s="327"/>
      <c r="C389" s="327"/>
      <c r="D389" s="327"/>
      <c r="E389" s="327"/>
      <c r="F389" s="327"/>
      <c r="G389" s="327"/>
      <c r="H389" s="312"/>
      <c r="I389" s="327"/>
      <c r="J389" s="327"/>
      <c r="K389" s="334"/>
      <c r="L389" s="322"/>
      <c r="M389" s="322"/>
      <c r="N389" s="327"/>
      <c r="O389" s="327"/>
      <c r="P389" s="331"/>
      <c r="Q389" s="327"/>
      <c r="R389" s="276"/>
      <c r="S389" s="322"/>
      <c r="T389" s="322"/>
      <c r="U389" s="327"/>
      <c r="V389" s="335"/>
      <c r="W389" s="327"/>
      <c r="X389" s="327"/>
      <c r="Y389" s="327"/>
      <c r="Z389" s="107"/>
      <c r="AA389" s="335"/>
      <c r="AB389" s="335"/>
      <c r="AC389" s="327"/>
      <c r="AD389" s="327"/>
      <c r="AE389" s="327"/>
      <c r="AF389" s="327"/>
      <c r="AG389" s="327"/>
      <c r="AH389" s="327"/>
      <c r="AI389" s="327"/>
      <c r="AJ389" s="327"/>
      <c r="AK389" s="336"/>
      <c r="AL389" s="42"/>
    </row>
    <row r="390" spans="2:38" x14ac:dyDescent="0.25">
      <c r="B390" s="327"/>
      <c r="C390" s="327"/>
      <c r="D390" s="327"/>
      <c r="E390" s="327"/>
      <c r="F390" s="327"/>
      <c r="G390" s="327"/>
      <c r="H390" s="312"/>
      <c r="I390" s="327"/>
      <c r="J390" s="327"/>
      <c r="K390" s="334"/>
      <c r="L390" s="322"/>
      <c r="M390" s="322"/>
      <c r="N390" s="327"/>
      <c r="O390" s="327"/>
      <c r="P390" s="331"/>
      <c r="Q390" s="327"/>
      <c r="R390" s="276"/>
      <c r="S390" s="322"/>
      <c r="T390" s="322"/>
      <c r="U390" s="327"/>
      <c r="V390" s="335"/>
      <c r="W390" s="327"/>
      <c r="X390" s="327"/>
      <c r="Y390" s="327"/>
      <c r="Z390" s="107"/>
      <c r="AA390" s="335"/>
      <c r="AB390" s="335"/>
      <c r="AC390" s="327"/>
      <c r="AD390" s="327"/>
      <c r="AE390" s="327"/>
      <c r="AF390" s="327"/>
      <c r="AG390" s="327"/>
      <c r="AH390" s="327"/>
      <c r="AI390" s="327"/>
      <c r="AJ390" s="327"/>
      <c r="AK390" s="336"/>
      <c r="AL390" s="42"/>
    </row>
    <row r="391" spans="2:38" x14ac:dyDescent="0.25">
      <c r="B391" s="327"/>
      <c r="C391" s="327"/>
      <c r="D391" s="327"/>
      <c r="E391" s="327"/>
      <c r="F391" s="327"/>
      <c r="G391" s="327"/>
      <c r="H391" s="312"/>
      <c r="I391" s="327"/>
      <c r="J391" s="327"/>
      <c r="K391" s="334"/>
      <c r="L391" s="322"/>
      <c r="M391" s="322"/>
      <c r="N391" s="327"/>
      <c r="O391" s="327"/>
      <c r="P391" s="331"/>
      <c r="Q391" s="327"/>
      <c r="R391" s="276"/>
      <c r="S391" s="322"/>
      <c r="T391" s="322"/>
      <c r="U391" s="327"/>
      <c r="V391" s="335"/>
      <c r="W391" s="327"/>
      <c r="X391" s="327"/>
      <c r="Y391" s="327"/>
      <c r="Z391" s="107"/>
      <c r="AA391" s="335"/>
      <c r="AB391" s="335"/>
      <c r="AC391" s="327"/>
      <c r="AD391" s="327"/>
      <c r="AE391" s="327"/>
      <c r="AF391" s="327"/>
      <c r="AG391" s="327"/>
      <c r="AH391" s="327"/>
      <c r="AI391" s="327"/>
      <c r="AJ391" s="327"/>
      <c r="AK391" s="336"/>
      <c r="AL391" s="42"/>
    </row>
    <row r="392" spans="2:38" x14ac:dyDescent="0.25">
      <c r="B392" s="327"/>
      <c r="C392" s="327"/>
      <c r="D392" s="327"/>
      <c r="E392" s="327"/>
      <c r="F392" s="327"/>
      <c r="G392" s="327"/>
      <c r="H392" s="312"/>
      <c r="I392" s="327"/>
      <c r="J392" s="327"/>
      <c r="K392" s="334"/>
      <c r="L392" s="322"/>
      <c r="M392" s="322"/>
      <c r="N392" s="327"/>
      <c r="O392" s="327"/>
      <c r="P392" s="331"/>
      <c r="Q392" s="327"/>
      <c r="R392" s="276"/>
      <c r="S392" s="322"/>
      <c r="T392" s="322"/>
      <c r="U392" s="327"/>
      <c r="V392" s="335"/>
      <c r="W392" s="327"/>
      <c r="X392" s="327"/>
      <c r="Y392" s="327"/>
      <c r="Z392" s="107"/>
      <c r="AA392" s="335"/>
      <c r="AB392" s="335"/>
      <c r="AC392" s="327"/>
      <c r="AD392" s="327"/>
      <c r="AE392" s="327"/>
      <c r="AF392" s="327"/>
      <c r="AG392" s="327"/>
      <c r="AH392" s="327"/>
      <c r="AI392" s="327"/>
      <c r="AJ392" s="327"/>
      <c r="AK392" s="336"/>
      <c r="AL392" s="42"/>
    </row>
    <row r="393" spans="2:38" x14ac:dyDescent="0.25">
      <c r="B393" s="327"/>
      <c r="C393" s="327"/>
      <c r="D393" s="327"/>
      <c r="E393" s="327"/>
      <c r="F393" s="327"/>
      <c r="G393" s="327"/>
      <c r="H393" s="312"/>
      <c r="I393" s="327"/>
      <c r="J393" s="327"/>
      <c r="K393" s="334"/>
      <c r="L393" s="322"/>
      <c r="M393" s="322"/>
      <c r="N393" s="327"/>
      <c r="O393" s="327"/>
      <c r="P393" s="331"/>
      <c r="Q393" s="327"/>
      <c r="R393" s="276"/>
      <c r="S393" s="322"/>
      <c r="T393" s="322"/>
      <c r="U393" s="327"/>
      <c r="V393" s="335"/>
      <c r="W393" s="327"/>
      <c r="X393" s="327"/>
      <c r="Y393" s="327"/>
      <c r="Z393" s="107"/>
      <c r="AA393" s="335"/>
      <c r="AB393" s="335"/>
      <c r="AC393" s="327"/>
      <c r="AD393" s="327"/>
      <c r="AE393" s="327"/>
      <c r="AF393" s="327"/>
      <c r="AG393" s="327"/>
      <c r="AH393" s="327"/>
      <c r="AI393" s="327"/>
      <c r="AJ393" s="327"/>
      <c r="AK393" s="336"/>
      <c r="AL393" s="42"/>
    </row>
    <row r="394" spans="2:38" x14ac:dyDescent="0.25">
      <c r="B394" s="327"/>
      <c r="C394" s="327"/>
      <c r="D394" s="327"/>
      <c r="E394" s="327"/>
      <c r="F394" s="327"/>
      <c r="G394" s="327"/>
      <c r="H394" s="312"/>
      <c r="I394" s="327"/>
      <c r="J394" s="327"/>
      <c r="K394" s="334"/>
      <c r="L394" s="322"/>
      <c r="M394" s="322"/>
      <c r="N394" s="327"/>
      <c r="O394" s="327"/>
      <c r="P394" s="331"/>
      <c r="Q394" s="327"/>
      <c r="R394" s="276"/>
      <c r="S394" s="322"/>
      <c r="T394" s="322"/>
      <c r="U394" s="327"/>
      <c r="V394" s="335"/>
      <c r="W394" s="327"/>
      <c r="X394" s="327"/>
      <c r="Y394" s="327"/>
      <c r="Z394" s="107"/>
      <c r="AA394" s="335"/>
      <c r="AB394" s="335"/>
      <c r="AC394" s="327"/>
      <c r="AD394" s="327"/>
      <c r="AE394" s="327"/>
      <c r="AF394" s="327"/>
      <c r="AG394" s="327"/>
      <c r="AH394" s="327"/>
      <c r="AI394" s="327"/>
      <c r="AJ394" s="327"/>
      <c r="AK394" s="336"/>
      <c r="AL394" s="42"/>
    </row>
    <row r="395" spans="2:38" x14ac:dyDescent="0.25">
      <c r="B395" s="327"/>
      <c r="C395" s="327"/>
      <c r="D395" s="327"/>
      <c r="E395" s="327"/>
      <c r="F395" s="327"/>
      <c r="G395" s="327"/>
      <c r="H395" s="312"/>
      <c r="I395" s="327"/>
      <c r="J395" s="327"/>
      <c r="K395" s="334"/>
      <c r="L395" s="322"/>
      <c r="M395" s="322"/>
      <c r="N395" s="327"/>
      <c r="O395" s="327"/>
      <c r="P395" s="331"/>
      <c r="Q395" s="327"/>
      <c r="R395" s="276"/>
      <c r="S395" s="322"/>
      <c r="T395" s="322"/>
      <c r="U395" s="327"/>
      <c r="V395" s="335"/>
      <c r="W395" s="327"/>
      <c r="X395" s="327"/>
      <c r="Y395" s="327"/>
      <c r="Z395" s="107"/>
      <c r="AA395" s="335"/>
      <c r="AB395" s="335"/>
      <c r="AC395" s="327"/>
      <c r="AD395" s="327"/>
      <c r="AE395" s="327"/>
      <c r="AF395" s="327"/>
      <c r="AG395" s="327"/>
      <c r="AH395" s="327"/>
      <c r="AI395" s="327"/>
      <c r="AJ395" s="327"/>
      <c r="AK395" s="336"/>
      <c r="AL395" s="42"/>
    </row>
    <row r="396" spans="2:38" x14ac:dyDescent="0.25">
      <c r="B396" s="327"/>
      <c r="C396" s="327"/>
      <c r="D396" s="327"/>
      <c r="E396" s="327"/>
      <c r="F396" s="327"/>
      <c r="G396" s="327"/>
      <c r="H396" s="312"/>
      <c r="I396" s="327"/>
      <c r="J396" s="327"/>
      <c r="K396" s="334"/>
      <c r="L396" s="322"/>
      <c r="M396" s="322"/>
      <c r="N396" s="327"/>
      <c r="O396" s="327"/>
      <c r="P396" s="331"/>
      <c r="Q396" s="327"/>
      <c r="R396" s="276"/>
      <c r="S396" s="322"/>
      <c r="T396" s="322"/>
      <c r="U396" s="327"/>
      <c r="V396" s="335"/>
      <c r="W396" s="327"/>
      <c r="X396" s="327"/>
      <c r="Y396" s="327"/>
      <c r="Z396" s="107"/>
      <c r="AA396" s="335"/>
      <c r="AB396" s="335"/>
      <c r="AC396" s="327"/>
      <c r="AD396" s="327"/>
      <c r="AE396" s="327"/>
      <c r="AF396" s="327"/>
      <c r="AG396" s="327"/>
      <c r="AH396" s="327"/>
      <c r="AI396" s="327"/>
      <c r="AJ396" s="327"/>
      <c r="AK396" s="336"/>
      <c r="AL396" s="42"/>
    </row>
    <row r="397" spans="2:38" x14ac:dyDescent="0.25">
      <c r="B397" s="327"/>
      <c r="C397" s="327"/>
      <c r="D397" s="327"/>
      <c r="E397" s="327"/>
      <c r="F397" s="327"/>
      <c r="G397" s="327"/>
      <c r="H397" s="312"/>
      <c r="I397" s="327"/>
      <c r="J397" s="327"/>
      <c r="K397" s="334"/>
      <c r="L397" s="322"/>
      <c r="M397" s="322"/>
      <c r="N397" s="327"/>
      <c r="O397" s="327"/>
      <c r="P397" s="331"/>
      <c r="Q397" s="327"/>
      <c r="R397" s="276"/>
      <c r="S397" s="322"/>
      <c r="T397" s="322"/>
      <c r="U397" s="327"/>
      <c r="V397" s="335"/>
      <c r="W397" s="327"/>
      <c r="X397" s="327"/>
      <c r="Y397" s="327"/>
      <c r="Z397" s="107"/>
      <c r="AA397" s="335"/>
      <c r="AB397" s="335"/>
      <c r="AC397" s="327"/>
      <c r="AD397" s="327"/>
      <c r="AE397" s="327"/>
      <c r="AF397" s="327"/>
      <c r="AG397" s="327"/>
      <c r="AH397" s="327"/>
      <c r="AI397" s="327"/>
      <c r="AJ397" s="327"/>
      <c r="AK397" s="336"/>
      <c r="AL397" s="42"/>
    </row>
    <row r="398" spans="2:38" x14ac:dyDescent="0.25">
      <c r="B398" s="327"/>
      <c r="C398" s="327"/>
      <c r="D398" s="327"/>
      <c r="E398" s="327"/>
      <c r="F398" s="327"/>
      <c r="G398" s="327"/>
      <c r="H398" s="312"/>
      <c r="I398" s="327"/>
      <c r="J398" s="327"/>
      <c r="K398" s="334"/>
      <c r="L398" s="322"/>
      <c r="M398" s="322"/>
      <c r="N398" s="327"/>
      <c r="O398" s="327"/>
      <c r="P398" s="331"/>
      <c r="Q398" s="327"/>
      <c r="R398" s="276"/>
      <c r="S398" s="322"/>
      <c r="T398" s="322"/>
      <c r="U398" s="327"/>
      <c r="V398" s="335"/>
      <c r="W398" s="327"/>
      <c r="X398" s="327"/>
      <c r="Y398" s="327"/>
      <c r="Z398" s="107"/>
      <c r="AA398" s="335"/>
      <c r="AB398" s="335"/>
      <c r="AC398" s="327"/>
      <c r="AD398" s="327"/>
      <c r="AE398" s="327"/>
      <c r="AF398" s="327"/>
      <c r="AG398" s="327"/>
      <c r="AH398" s="327"/>
      <c r="AI398" s="327"/>
      <c r="AJ398" s="327"/>
      <c r="AK398" s="336"/>
      <c r="AL398" s="42"/>
    </row>
    <row r="399" spans="2:38" x14ac:dyDescent="0.25">
      <c r="B399" s="327"/>
      <c r="C399" s="327"/>
      <c r="D399" s="327"/>
      <c r="E399" s="327"/>
      <c r="F399" s="327"/>
      <c r="G399" s="327"/>
      <c r="H399" s="312"/>
      <c r="I399" s="327"/>
      <c r="J399" s="327"/>
      <c r="K399" s="334"/>
      <c r="L399" s="322"/>
      <c r="M399" s="322"/>
      <c r="N399" s="327"/>
      <c r="O399" s="327"/>
      <c r="P399" s="331"/>
      <c r="Q399" s="327"/>
      <c r="R399" s="276"/>
      <c r="S399" s="322"/>
      <c r="T399" s="322"/>
      <c r="U399" s="327"/>
      <c r="V399" s="335"/>
      <c r="W399" s="327"/>
      <c r="X399" s="327"/>
      <c r="Y399" s="327"/>
      <c r="Z399" s="107"/>
      <c r="AA399" s="335"/>
      <c r="AB399" s="335"/>
      <c r="AC399" s="327"/>
      <c r="AD399" s="327"/>
      <c r="AE399" s="327"/>
      <c r="AF399" s="327"/>
      <c r="AG399" s="327"/>
      <c r="AH399" s="327"/>
      <c r="AI399" s="327"/>
      <c r="AJ399" s="327"/>
      <c r="AK399" s="336"/>
      <c r="AL399" s="42"/>
    </row>
    <row r="400" spans="2:38" x14ac:dyDescent="0.25">
      <c r="B400" s="327"/>
      <c r="C400" s="327"/>
      <c r="D400" s="327"/>
      <c r="E400" s="327"/>
      <c r="F400" s="327"/>
      <c r="G400" s="327"/>
      <c r="H400" s="312"/>
      <c r="I400" s="327"/>
      <c r="J400" s="327"/>
      <c r="K400" s="334"/>
      <c r="L400" s="322"/>
      <c r="M400" s="322"/>
      <c r="N400" s="327"/>
      <c r="O400" s="327"/>
      <c r="P400" s="331"/>
      <c r="Q400" s="327"/>
      <c r="R400" s="276"/>
      <c r="S400" s="322"/>
      <c r="T400" s="322"/>
      <c r="U400" s="327"/>
      <c r="V400" s="335"/>
      <c r="W400" s="327"/>
      <c r="X400" s="327"/>
      <c r="Y400" s="327"/>
      <c r="Z400" s="107"/>
      <c r="AA400" s="335"/>
      <c r="AB400" s="335"/>
      <c r="AC400" s="327"/>
      <c r="AD400" s="327"/>
      <c r="AE400" s="327"/>
      <c r="AF400" s="327"/>
      <c r="AG400" s="327"/>
      <c r="AH400" s="327"/>
      <c r="AI400" s="327"/>
      <c r="AJ400" s="327"/>
      <c r="AK400" s="336"/>
      <c r="AL400" s="42"/>
    </row>
    <row r="401" spans="2:38" x14ac:dyDescent="0.25">
      <c r="B401" s="327"/>
      <c r="C401" s="327"/>
      <c r="D401" s="327"/>
      <c r="E401" s="327"/>
      <c r="F401" s="327"/>
      <c r="G401" s="327"/>
      <c r="H401" s="312"/>
      <c r="I401" s="327"/>
      <c r="J401" s="327"/>
      <c r="K401" s="334"/>
      <c r="L401" s="322"/>
      <c r="M401" s="322"/>
      <c r="N401" s="327"/>
      <c r="O401" s="327"/>
      <c r="P401" s="331"/>
      <c r="Q401" s="327"/>
      <c r="R401" s="276"/>
      <c r="S401" s="322"/>
      <c r="T401" s="322"/>
      <c r="U401" s="327"/>
      <c r="V401" s="335"/>
      <c r="W401" s="327"/>
      <c r="X401" s="327"/>
      <c r="Y401" s="327"/>
      <c r="Z401" s="107"/>
      <c r="AA401" s="335"/>
      <c r="AB401" s="335"/>
      <c r="AC401" s="327"/>
      <c r="AD401" s="327"/>
      <c r="AE401" s="327"/>
      <c r="AF401" s="327"/>
      <c r="AG401" s="327"/>
      <c r="AH401" s="327"/>
      <c r="AI401" s="327"/>
      <c r="AJ401" s="327"/>
      <c r="AK401" s="336"/>
      <c r="AL401" s="42"/>
    </row>
    <row r="402" spans="2:38" x14ac:dyDescent="0.25">
      <c r="B402" s="327"/>
      <c r="C402" s="327"/>
      <c r="D402" s="327"/>
      <c r="E402" s="327"/>
      <c r="F402" s="327"/>
      <c r="G402" s="327"/>
      <c r="H402" s="312"/>
      <c r="I402" s="327"/>
      <c r="J402" s="327"/>
      <c r="K402" s="334"/>
      <c r="L402" s="322"/>
      <c r="M402" s="322"/>
      <c r="N402" s="327"/>
      <c r="O402" s="327"/>
      <c r="P402" s="331"/>
      <c r="Q402" s="327"/>
      <c r="R402" s="276"/>
      <c r="S402" s="322"/>
      <c r="T402" s="322"/>
      <c r="U402" s="327"/>
      <c r="V402" s="335"/>
      <c r="W402" s="327"/>
      <c r="X402" s="327"/>
      <c r="Y402" s="327"/>
      <c r="Z402" s="107"/>
      <c r="AA402" s="335"/>
      <c r="AB402" s="335"/>
      <c r="AC402" s="327"/>
      <c r="AD402" s="327"/>
      <c r="AE402" s="327"/>
      <c r="AF402" s="327"/>
      <c r="AG402" s="327"/>
      <c r="AH402" s="327"/>
      <c r="AI402" s="327"/>
      <c r="AJ402" s="327"/>
      <c r="AK402" s="336"/>
      <c r="AL402" s="42"/>
    </row>
    <row r="403" spans="2:38" x14ac:dyDescent="0.25">
      <c r="B403" s="327"/>
      <c r="C403" s="327"/>
      <c r="D403" s="327"/>
      <c r="E403" s="327"/>
      <c r="F403" s="327"/>
      <c r="G403" s="327"/>
      <c r="H403" s="312"/>
      <c r="I403" s="327"/>
      <c r="J403" s="327"/>
      <c r="K403" s="334"/>
      <c r="L403" s="322"/>
      <c r="M403" s="322"/>
      <c r="N403" s="327"/>
      <c r="O403" s="327"/>
      <c r="P403" s="331"/>
      <c r="Q403" s="327"/>
      <c r="R403" s="276"/>
      <c r="S403" s="322"/>
      <c r="T403" s="322"/>
      <c r="U403" s="327"/>
      <c r="V403" s="335"/>
      <c r="W403" s="327"/>
      <c r="X403" s="327"/>
      <c r="Y403" s="327"/>
      <c r="Z403" s="107"/>
      <c r="AA403" s="335"/>
      <c r="AB403" s="335"/>
      <c r="AC403" s="327"/>
      <c r="AD403" s="327"/>
      <c r="AE403" s="327"/>
      <c r="AF403" s="327"/>
      <c r="AG403" s="327"/>
      <c r="AH403" s="327"/>
      <c r="AI403" s="327"/>
      <c r="AJ403" s="327"/>
      <c r="AK403" s="336"/>
      <c r="AL403" s="42"/>
    </row>
    <row r="404" spans="2:38" x14ac:dyDescent="0.25">
      <c r="B404" s="327"/>
      <c r="C404" s="327"/>
      <c r="D404" s="327"/>
      <c r="E404" s="327"/>
      <c r="F404" s="327"/>
      <c r="G404" s="327"/>
      <c r="H404" s="312"/>
      <c r="I404" s="327"/>
      <c r="J404" s="327"/>
      <c r="K404" s="334"/>
      <c r="L404" s="322"/>
      <c r="M404" s="322"/>
      <c r="N404" s="327"/>
      <c r="O404" s="327"/>
      <c r="P404" s="331"/>
      <c r="Q404" s="327"/>
      <c r="R404" s="276"/>
      <c r="S404" s="322"/>
      <c r="T404" s="322"/>
      <c r="U404" s="327"/>
      <c r="V404" s="335"/>
      <c r="W404" s="327"/>
      <c r="X404" s="327"/>
      <c r="Y404" s="327"/>
      <c r="Z404" s="107"/>
      <c r="AA404" s="335"/>
      <c r="AB404" s="335"/>
      <c r="AC404" s="327"/>
      <c r="AD404" s="327"/>
      <c r="AE404" s="327"/>
      <c r="AF404" s="327"/>
      <c r="AG404" s="327"/>
      <c r="AH404" s="327"/>
      <c r="AI404" s="327"/>
      <c r="AJ404" s="327"/>
      <c r="AK404" s="336"/>
      <c r="AL404" s="42"/>
    </row>
    <row r="405" spans="2:38" x14ac:dyDescent="0.25">
      <c r="B405" s="327"/>
      <c r="C405" s="327"/>
      <c r="D405" s="327"/>
      <c r="E405" s="327"/>
      <c r="F405" s="327"/>
      <c r="G405" s="327"/>
      <c r="H405" s="312"/>
      <c r="I405" s="327"/>
      <c r="J405" s="327"/>
      <c r="K405" s="334"/>
      <c r="L405" s="322"/>
      <c r="M405" s="322"/>
      <c r="N405" s="327"/>
      <c r="O405" s="327"/>
      <c r="P405" s="331"/>
      <c r="Q405" s="327"/>
      <c r="R405" s="276"/>
      <c r="S405" s="322"/>
      <c r="T405" s="322"/>
      <c r="U405" s="327"/>
      <c r="V405" s="335"/>
      <c r="W405" s="327"/>
      <c r="X405" s="327"/>
      <c r="Y405" s="327"/>
      <c r="Z405" s="107"/>
      <c r="AA405" s="335"/>
      <c r="AB405" s="335"/>
      <c r="AC405" s="327"/>
      <c r="AD405" s="327"/>
      <c r="AE405" s="327"/>
      <c r="AF405" s="327"/>
      <c r="AG405" s="327"/>
      <c r="AH405" s="327"/>
      <c r="AI405" s="327"/>
      <c r="AJ405" s="327"/>
      <c r="AK405" s="336"/>
      <c r="AL405" s="42"/>
    </row>
    <row r="406" spans="2:38" x14ac:dyDescent="0.25">
      <c r="B406" s="327"/>
      <c r="C406" s="327"/>
      <c r="D406" s="327"/>
      <c r="E406" s="327"/>
      <c r="F406" s="327"/>
      <c r="G406" s="327"/>
      <c r="H406" s="312"/>
      <c r="I406" s="327"/>
      <c r="J406" s="327"/>
      <c r="K406" s="334"/>
      <c r="L406" s="322"/>
      <c r="M406" s="322"/>
      <c r="N406" s="327"/>
      <c r="O406" s="327"/>
      <c r="P406" s="331"/>
      <c r="Q406" s="327"/>
      <c r="R406" s="276"/>
      <c r="S406" s="322"/>
      <c r="T406" s="322"/>
      <c r="U406" s="327"/>
      <c r="V406" s="335"/>
      <c r="W406" s="327"/>
      <c r="X406" s="327"/>
      <c r="Y406" s="327"/>
      <c r="Z406" s="107"/>
      <c r="AA406" s="335"/>
      <c r="AB406" s="335"/>
      <c r="AC406" s="327"/>
      <c r="AD406" s="327"/>
      <c r="AE406" s="327"/>
      <c r="AF406" s="327"/>
      <c r="AG406" s="327"/>
      <c r="AH406" s="327"/>
      <c r="AI406" s="327"/>
      <c r="AJ406" s="327"/>
      <c r="AK406" s="336"/>
      <c r="AL406" s="42"/>
    </row>
    <row r="407" spans="2:38" x14ac:dyDescent="0.25">
      <c r="B407" s="327"/>
      <c r="C407" s="327"/>
      <c r="D407" s="327"/>
      <c r="E407" s="327"/>
      <c r="F407" s="327"/>
      <c r="G407" s="327"/>
      <c r="H407" s="312"/>
      <c r="I407" s="327"/>
      <c r="J407" s="327"/>
      <c r="K407" s="334"/>
      <c r="L407" s="322"/>
      <c r="M407" s="322"/>
      <c r="N407" s="327"/>
      <c r="O407" s="327"/>
      <c r="P407" s="331"/>
      <c r="Q407" s="327"/>
      <c r="R407" s="276"/>
      <c r="S407" s="322"/>
      <c r="T407" s="322"/>
      <c r="U407" s="327"/>
      <c r="V407" s="335"/>
      <c r="W407" s="327"/>
      <c r="X407" s="327"/>
      <c r="Y407" s="327"/>
      <c r="Z407" s="107"/>
      <c r="AA407" s="335"/>
      <c r="AB407" s="335"/>
      <c r="AC407" s="327"/>
      <c r="AD407" s="327"/>
      <c r="AE407" s="327"/>
      <c r="AF407" s="327"/>
      <c r="AG407" s="327"/>
      <c r="AH407" s="327"/>
      <c r="AI407" s="327"/>
      <c r="AJ407" s="327"/>
      <c r="AK407" s="336"/>
      <c r="AL407" s="42"/>
    </row>
    <row r="408" spans="2:38" x14ac:dyDescent="0.25">
      <c r="B408" s="327"/>
      <c r="C408" s="327"/>
      <c r="D408" s="327"/>
      <c r="E408" s="327"/>
      <c r="F408" s="327"/>
      <c r="G408" s="327"/>
      <c r="H408" s="312"/>
      <c r="I408" s="327"/>
      <c r="J408" s="327"/>
      <c r="K408" s="334"/>
      <c r="L408" s="322"/>
      <c r="M408" s="322"/>
      <c r="N408" s="327"/>
      <c r="O408" s="327"/>
      <c r="P408" s="331"/>
      <c r="Q408" s="327"/>
      <c r="R408" s="276"/>
      <c r="S408" s="322"/>
      <c r="T408" s="322"/>
      <c r="U408" s="327"/>
      <c r="V408" s="335"/>
      <c r="W408" s="327"/>
      <c r="X408" s="327"/>
      <c r="Y408" s="327"/>
      <c r="Z408" s="107"/>
      <c r="AA408" s="335"/>
      <c r="AB408" s="335"/>
      <c r="AC408" s="327"/>
      <c r="AD408" s="327"/>
      <c r="AE408" s="327"/>
      <c r="AF408" s="327"/>
      <c r="AG408" s="327"/>
      <c r="AH408" s="327"/>
      <c r="AI408" s="327"/>
      <c r="AJ408" s="327"/>
      <c r="AK408" s="336"/>
      <c r="AL408" s="42"/>
    </row>
    <row r="409" spans="2:38" x14ac:dyDescent="0.25">
      <c r="B409" s="327"/>
      <c r="C409" s="327"/>
      <c r="D409" s="327"/>
      <c r="E409" s="327"/>
      <c r="F409" s="327"/>
      <c r="G409" s="327"/>
      <c r="H409" s="312"/>
      <c r="I409" s="327"/>
      <c r="J409" s="327"/>
      <c r="K409" s="334"/>
      <c r="L409" s="322"/>
      <c r="M409" s="322"/>
      <c r="N409" s="327"/>
      <c r="O409" s="327"/>
      <c r="P409" s="331"/>
      <c r="Q409" s="327"/>
      <c r="R409" s="276"/>
      <c r="S409" s="322"/>
      <c r="T409" s="322"/>
      <c r="U409" s="327"/>
      <c r="V409" s="335"/>
      <c r="W409" s="327"/>
      <c r="X409" s="327"/>
      <c r="Y409" s="327"/>
      <c r="Z409" s="107"/>
      <c r="AA409" s="335"/>
      <c r="AB409" s="335"/>
      <c r="AC409" s="327"/>
      <c r="AD409" s="327"/>
      <c r="AE409" s="327"/>
      <c r="AF409" s="327"/>
      <c r="AG409" s="327"/>
      <c r="AH409" s="327"/>
      <c r="AI409" s="327"/>
      <c r="AJ409" s="327"/>
      <c r="AK409" s="336"/>
      <c r="AL409" s="42"/>
    </row>
    <row r="410" spans="2:38" x14ac:dyDescent="0.25">
      <c r="B410" s="327"/>
      <c r="C410" s="327"/>
      <c r="D410" s="327"/>
      <c r="E410" s="327"/>
      <c r="F410" s="327"/>
      <c r="G410" s="327"/>
      <c r="H410" s="312"/>
      <c r="I410" s="327"/>
      <c r="J410" s="327"/>
      <c r="K410" s="334"/>
      <c r="L410" s="322"/>
      <c r="M410" s="322"/>
      <c r="N410" s="327"/>
      <c r="O410" s="327"/>
      <c r="P410" s="331"/>
      <c r="Q410" s="327"/>
      <c r="R410" s="276"/>
      <c r="S410" s="322"/>
      <c r="T410" s="322"/>
      <c r="U410" s="327"/>
      <c r="V410" s="335"/>
      <c r="W410" s="327"/>
      <c r="X410" s="327"/>
      <c r="Y410" s="327"/>
      <c r="Z410" s="107"/>
      <c r="AA410" s="335"/>
      <c r="AB410" s="335"/>
      <c r="AC410" s="327"/>
      <c r="AD410" s="327"/>
      <c r="AE410" s="327"/>
      <c r="AF410" s="327"/>
      <c r="AG410" s="327"/>
      <c r="AH410" s="327"/>
      <c r="AI410" s="327"/>
      <c r="AJ410" s="327"/>
      <c r="AK410" s="336"/>
      <c r="AL410" s="42"/>
    </row>
    <row r="411" spans="2:38" x14ac:dyDescent="0.25">
      <c r="B411" s="327"/>
      <c r="C411" s="327"/>
      <c r="D411" s="327"/>
      <c r="E411" s="327"/>
      <c r="F411" s="327"/>
      <c r="G411" s="327"/>
      <c r="H411" s="312"/>
      <c r="I411" s="327"/>
      <c r="J411" s="327"/>
      <c r="K411" s="334"/>
      <c r="L411" s="322"/>
      <c r="M411" s="322"/>
      <c r="N411" s="327"/>
      <c r="O411" s="327"/>
      <c r="P411" s="331"/>
      <c r="Q411" s="327"/>
      <c r="R411" s="276"/>
      <c r="S411" s="322"/>
      <c r="T411" s="322"/>
      <c r="U411" s="327"/>
      <c r="V411" s="335"/>
      <c r="W411" s="327"/>
      <c r="X411" s="327"/>
      <c r="Y411" s="327"/>
      <c r="Z411" s="107"/>
      <c r="AA411" s="335"/>
      <c r="AB411" s="335"/>
      <c r="AC411" s="327"/>
      <c r="AD411" s="327"/>
      <c r="AE411" s="327"/>
      <c r="AF411" s="327"/>
      <c r="AG411" s="327"/>
      <c r="AH411" s="327"/>
      <c r="AI411" s="327"/>
      <c r="AJ411" s="327"/>
      <c r="AK411" s="336"/>
      <c r="AL411" s="42"/>
    </row>
    <row r="412" spans="2:38" x14ac:dyDescent="0.25">
      <c r="B412" s="327"/>
      <c r="C412" s="327"/>
      <c r="D412" s="327"/>
      <c r="E412" s="327"/>
      <c r="F412" s="327"/>
      <c r="G412" s="327"/>
      <c r="H412" s="312"/>
      <c r="I412" s="327"/>
      <c r="J412" s="327"/>
      <c r="K412" s="334"/>
      <c r="L412" s="322"/>
      <c r="M412" s="322"/>
      <c r="N412" s="327"/>
      <c r="O412" s="327"/>
      <c r="P412" s="331"/>
      <c r="Q412" s="327"/>
      <c r="R412" s="276"/>
      <c r="S412" s="322"/>
      <c r="T412" s="322"/>
      <c r="U412" s="327"/>
      <c r="V412" s="335"/>
      <c r="W412" s="327"/>
      <c r="X412" s="327"/>
      <c r="Y412" s="327"/>
      <c r="Z412" s="107"/>
      <c r="AA412" s="335"/>
      <c r="AB412" s="335"/>
      <c r="AC412" s="327"/>
      <c r="AD412" s="327"/>
      <c r="AE412" s="327"/>
      <c r="AF412" s="327"/>
      <c r="AG412" s="327"/>
      <c r="AH412" s="327"/>
      <c r="AI412" s="327"/>
      <c r="AJ412" s="327"/>
      <c r="AK412" s="336"/>
      <c r="AL412" s="42"/>
    </row>
    <row r="413" spans="2:38" x14ac:dyDescent="0.25">
      <c r="B413" s="327"/>
      <c r="C413" s="327"/>
      <c r="D413" s="327"/>
      <c r="E413" s="327"/>
      <c r="F413" s="327"/>
      <c r="G413" s="327"/>
      <c r="H413" s="312"/>
      <c r="I413" s="327"/>
      <c r="J413" s="327"/>
      <c r="K413" s="334"/>
      <c r="L413" s="322"/>
      <c r="M413" s="322"/>
      <c r="N413" s="327"/>
      <c r="O413" s="327"/>
      <c r="P413" s="331"/>
      <c r="Q413" s="327"/>
      <c r="R413" s="276"/>
      <c r="S413" s="322"/>
      <c r="T413" s="322"/>
      <c r="U413" s="327"/>
      <c r="V413" s="335"/>
      <c r="W413" s="327"/>
      <c r="X413" s="327"/>
      <c r="Y413" s="327"/>
      <c r="Z413" s="107"/>
      <c r="AA413" s="335"/>
      <c r="AB413" s="335"/>
      <c r="AC413" s="327"/>
      <c r="AD413" s="327"/>
      <c r="AE413" s="327"/>
      <c r="AF413" s="327"/>
      <c r="AG413" s="327"/>
      <c r="AH413" s="327"/>
      <c r="AI413" s="327"/>
      <c r="AJ413" s="327"/>
      <c r="AK413" s="336"/>
      <c r="AL413" s="42"/>
    </row>
    <row r="414" spans="2:38" x14ac:dyDescent="0.25">
      <c r="B414" s="327"/>
      <c r="C414" s="327"/>
      <c r="D414" s="327"/>
      <c r="E414" s="327"/>
      <c r="F414" s="327"/>
      <c r="G414" s="327"/>
      <c r="H414" s="312"/>
      <c r="I414" s="327"/>
      <c r="J414" s="327"/>
      <c r="K414" s="334"/>
      <c r="L414" s="322"/>
      <c r="M414" s="322"/>
      <c r="N414" s="327"/>
      <c r="O414" s="327"/>
      <c r="P414" s="331"/>
      <c r="Q414" s="327"/>
      <c r="R414" s="276"/>
      <c r="S414" s="322"/>
      <c r="T414" s="322"/>
      <c r="U414" s="327"/>
      <c r="V414" s="335"/>
      <c r="W414" s="327"/>
      <c r="X414" s="327"/>
      <c r="Y414" s="327"/>
      <c r="Z414" s="107"/>
      <c r="AA414" s="335"/>
      <c r="AB414" s="335"/>
      <c r="AC414" s="327"/>
      <c r="AD414" s="327"/>
      <c r="AE414" s="327"/>
      <c r="AF414" s="327"/>
      <c r="AG414" s="327"/>
      <c r="AH414" s="327"/>
      <c r="AI414" s="327"/>
      <c r="AJ414" s="327"/>
      <c r="AK414" s="336"/>
      <c r="AL414" s="42"/>
    </row>
    <row r="415" spans="2:38" x14ac:dyDescent="0.25">
      <c r="B415" s="327"/>
      <c r="C415" s="327"/>
      <c r="D415" s="327"/>
      <c r="E415" s="327"/>
      <c r="F415" s="327"/>
      <c r="G415" s="327"/>
      <c r="H415" s="312"/>
      <c r="I415" s="327"/>
      <c r="J415" s="327"/>
      <c r="K415" s="334"/>
      <c r="L415" s="322"/>
      <c r="M415" s="322"/>
      <c r="N415" s="327"/>
      <c r="O415" s="327"/>
      <c r="P415" s="331"/>
      <c r="Q415" s="327"/>
      <c r="R415" s="276"/>
      <c r="S415" s="322"/>
      <c r="T415" s="322"/>
      <c r="U415" s="327"/>
      <c r="V415" s="335"/>
      <c r="W415" s="327"/>
      <c r="X415" s="327"/>
      <c r="Y415" s="327"/>
      <c r="Z415" s="107"/>
      <c r="AA415" s="335"/>
      <c r="AB415" s="335"/>
      <c r="AC415" s="327"/>
      <c r="AD415" s="327"/>
      <c r="AE415" s="327"/>
      <c r="AF415" s="327"/>
      <c r="AG415" s="327"/>
      <c r="AH415" s="327"/>
      <c r="AI415" s="327"/>
      <c r="AJ415" s="327"/>
      <c r="AK415" s="336"/>
      <c r="AL415" s="42"/>
    </row>
    <row r="416" spans="2:38" x14ac:dyDescent="0.25">
      <c r="B416" s="327"/>
      <c r="C416" s="327"/>
      <c r="D416" s="327"/>
      <c r="E416" s="327"/>
      <c r="F416" s="327"/>
      <c r="G416" s="327"/>
      <c r="H416" s="312"/>
      <c r="I416" s="327"/>
      <c r="J416" s="327"/>
      <c r="K416" s="334"/>
      <c r="L416" s="322"/>
      <c r="M416" s="322"/>
      <c r="N416" s="327"/>
      <c r="O416" s="327"/>
      <c r="P416" s="331"/>
      <c r="Q416" s="327"/>
      <c r="R416" s="276"/>
      <c r="S416" s="322"/>
      <c r="T416" s="322"/>
      <c r="U416" s="327"/>
      <c r="V416" s="335"/>
      <c r="W416" s="327"/>
      <c r="X416" s="327"/>
      <c r="Y416" s="327"/>
      <c r="Z416" s="107"/>
      <c r="AA416" s="335"/>
      <c r="AB416" s="335"/>
      <c r="AC416" s="327"/>
      <c r="AD416" s="327"/>
      <c r="AE416" s="327"/>
      <c r="AF416" s="327"/>
      <c r="AG416" s="327"/>
      <c r="AH416" s="327"/>
      <c r="AI416" s="327"/>
      <c r="AJ416" s="327"/>
      <c r="AK416" s="336"/>
      <c r="AL416" s="42"/>
    </row>
    <row r="417" spans="2:38" x14ac:dyDescent="0.25">
      <c r="B417" s="327"/>
      <c r="C417" s="327"/>
      <c r="D417" s="327"/>
      <c r="E417" s="327"/>
      <c r="F417" s="327"/>
      <c r="G417" s="327"/>
      <c r="H417" s="312"/>
      <c r="I417" s="327"/>
      <c r="J417" s="327"/>
      <c r="K417" s="334"/>
      <c r="L417" s="322"/>
      <c r="M417" s="322"/>
      <c r="N417" s="327"/>
      <c r="O417" s="327"/>
      <c r="P417" s="331"/>
      <c r="Q417" s="327"/>
      <c r="R417" s="276"/>
      <c r="S417" s="322"/>
      <c r="T417" s="322"/>
      <c r="U417" s="327"/>
      <c r="V417" s="335"/>
      <c r="W417" s="327"/>
      <c r="X417" s="327"/>
      <c r="Y417" s="327"/>
      <c r="Z417" s="107"/>
      <c r="AA417" s="335"/>
      <c r="AB417" s="335"/>
      <c r="AC417" s="327"/>
      <c r="AD417" s="327"/>
      <c r="AE417" s="327"/>
      <c r="AF417" s="327"/>
      <c r="AG417" s="327"/>
      <c r="AH417" s="327"/>
      <c r="AI417" s="327"/>
      <c r="AJ417" s="327"/>
      <c r="AK417" s="336"/>
      <c r="AL417" s="42"/>
    </row>
    <row r="418" spans="2:38" x14ac:dyDescent="0.25">
      <c r="B418" s="327"/>
      <c r="C418" s="327"/>
      <c r="D418" s="327"/>
      <c r="E418" s="327"/>
      <c r="F418" s="327"/>
      <c r="G418" s="327"/>
      <c r="H418" s="312"/>
      <c r="I418" s="327"/>
      <c r="J418" s="327"/>
      <c r="K418" s="334"/>
      <c r="L418" s="322"/>
      <c r="M418" s="322"/>
      <c r="N418" s="327"/>
      <c r="O418" s="327"/>
      <c r="P418" s="331"/>
      <c r="Q418" s="327"/>
      <c r="R418" s="276"/>
      <c r="S418" s="322"/>
      <c r="T418" s="322"/>
      <c r="U418" s="327"/>
      <c r="V418" s="335"/>
      <c r="W418" s="327"/>
      <c r="X418" s="327"/>
      <c r="Y418" s="327"/>
      <c r="Z418" s="107"/>
      <c r="AA418" s="335"/>
      <c r="AB418" s="335"/>
      <c r="AC418" s="327"/>
      <c r="AD418" s="327"/>
      <c r="AE418" s="327"/>
      <c r="AF418" s="327"/>
      <c r="AG418" s="327"/>
      <c r="AH418" s="327"/>
      <c r="AI418" s="327"/>
      <c r="AJ418" s="327"/>
      <c r="AK418" s="336"/>
      <c r="AL418" s="42"/>
    </row>
    <row r="419" spans="2:38" x14ac:dyDescent="0.25">
      <c r="B419" s="327"/>
      <c r="C419" s="327"/>
      <c r="D419" s="327"/>
      <c r="E419" s="327"/>
      <c r="F419" s="327"/>
      <c r="G419" s="327"/>
      <c r="H419" s="312"/>
      <c r="I419" s="327"/>
      <c r="J419" s="327"/>
      <c r="K419" s="334"/>
      <c r="L419" s="322"/>
      <c r="M419" s="322"/>
      <c r="N419" s="327"/>
      <c r="O419" s="327"/>
      <c r="P419" s="331"/>
      <c r="Q419" s="327"/>
      <c r="R419" s="276"/>
      <c r="S419" s="322"/>
      <c r="T419" s="322"/>
      <c r="U419" s="327"/>
      <c r="V419" s="335"/>
      <c r="W419" s="327"/>
      <c r="X419" s="327"/>
      <c r="Y419" s="327"/>
      <c r="Z419" s="107"/>
      <c r="AA419" s="335"/>
      <c r="AB419" s="335"/>
      <c r="AC419" s="327"/>
      <c r="AD419" s="327"/>
      <c r="AE419" s="327"/>
      <c r="AF419" s="327"/>
      <c r="AG419" s="327"/>
      <c r="AH419" s="327"/>
      <c r="AI419" s="327"/>
      <c r="AJ419" s="327"/>
      <c r="AK419" s="336"/>
      <c r="AL419" s="42"/>
    </row>
    <row r="420" spans="2:38" x14ac:dyDescent="0.25">
      <c r="B420" s="327"/>
      <c r="C420" s="327"/>
      <c r="D420" s="327"/>
      <c r="E420" s="327"/>
      <c r="F420" s="327"/>
      <c r="G420" s="327"/>
      <c r="H420" s="312"/>
      <c r="I420" s="327"/>
      <c r="J420" s="327"/>
      <c r="K420" s="334"/>
      <c r="L420" s="322"/>
      <c r="M420" s="322"/>
      <c r="N420" s="327"/>
      <c r="O420" s="327"/>
      <c r="P420" s="331"/>
      <c r="Q420" s="327"/>
      <c r="R420" s="276"/>
      <c r="S420" s="322"/>
      <c r="T420" s="322"/>
      <c r="U420" s="327"/>
      <c r="V420" s="335"/>
      <c r="W420" s="327"/>
      <c r="X420" s="327"/>
      <c r="Y420" s="327"/>
      <c r="Z420" s="107"/>
      <c r="AA420" s="335"/>
      <c r="AB420" s="335"/>
      <c r="AC420" s="327"/>
      <c r="AD420" s="327"/>
      <c r="AE420" s="327"/>
      <c r="AF420" s="327"/>
      <c r="AG420" s="327"/>
      <c r="AH420" s="327"/>
      <c r="AI420" s="327"/>
      <c r="AJ420" s="327"/>
      <c r="AK420" s="336"/>
      <c r="AL420" s="42"/>
    </row>
    <row r="421" spans="2:38" x14ac:dyDescent="0.25">
      <c r="B421" s="327"/>
      <c r="C421" s="327"/>
      <c r="D421" s="327"/>
      <c r="E421" s="327"/>
      <c r="F421" s="327"/>
      <c r="G421" s="327"/>
      <c r="H421" s="312"/>
      <c r="I421" s="327"/>
      <c r="J421" s="327"/>
      <c r="K421" s="334"/>
      <c r="L421" s="322"/>
      <c r="M421" s="322"/>
      <c r="N421" s="327"/>
      <c r="O421" s="327"/>
      <c r="P421" s="331"/>
      <c r="Q421" s="327"/>
      <c r="R421" s="276"/>
      <c r="S421" s="322"/>
      <c r="T421" s="322"/>
      <c r="U421" s="327"/>
      <c r="V421" s="335"/>
      <c r="W421" s="327"/>
      <c r="X421" s="327"/>
      <c r="Y421" s="327"/>
      <c r="Z421" s="107"/>
      <c r="AA421" s="335"/>
      <c r="AB421" s="335"/>
      <c r="AC421" s="327"/>
      <c r="AD421" s="327"/>
      <c r="AE421" s="327"/>
      <c r="AF421" s="327"/>
      <c r="AG421" s="327"/>
      <c r="AH421" s="327"/>
      <c r="AI421" s="327"/>
      <c r="AJ421" s="327"/>
      <c r="AK421" s="336"/>
      <c r="AL421" s="42"/>
    </row>
    <row r="422" spans="2:38" x14ac:dyDescent="0.25">
      <c r="B422" s="327"/>
      <c r="C422" s="327"/>
      <c r="D422" s="327"/>
      <c r="E422" s="327"/>
      <c r="F422" s="327"/>
      <c r="G422" s="327"/>
      <c r="H422" s="312"/>
      <c r="I422" s="327"/>
      <c r="J422" s="327"/>
      <c r="K422" s="334"/>
      <c r="L422" s="322"/>
      <c r="M422" s="322"/>
      <c r="N422" s="327"/>
      <c r="O422" s="327"/>
      <c r="P422" s="331"/>
      <c r="Q422" s="327"/>
      <c r="R422" s="276"/>
      <c r="S422" s="322"/>
      <c r="T422" s="322"/>
      <c r="U422" s="327"/>
      <c r="V422" s="335"/>
      <c r="W422" s="327"/>
      <c r="X422" s="327"/>
      <c r="Y422" s="327"/>
      <c r="Z422" s="107"/>
      <c r="AA422" s="335"/>
      <c r="AB422" s="335"/>
      <c r="AC422" s="327"/>
      <c r="AD422" s="327"/>
      <c r="AE422" s="327"/>
      <c r="AF422" s="327"/>
      <c r="AG422" s="327"/>
      <c r="AH422" s="327"/>
      <c r="AI422" s="327"/>
      <c r="AJ422" s="327"/>
      <c r="AK422" s="336"/>
      <c r="AL422" s="42"/>
    </row>
    <row r="423" spans="2:38" x14ac:dyDescent="0.25">
      <c r="B423" s="327"/>
      <c r="C423" s="327"/>
      <c r="D423" s="327"/>
      <c r="E423" s="327"/>
      <c r="F423" s="327"/>
      <c r="G423" s="327"/>
      <c r="H423" s="312"/>
      <c r="I423" s="327"/>
      <c r="J423" s="327"/>
      <c r="K423" s="334"/>
      <c r="L423" s="322"/>
      <c r="M423" s="322"/>
      <c r="N423" s="327"/>
      <c r="O423" s="327"/>
      <c r="P423" s="331"/>
      <c r="Q423" s="327"/>
      <c r="R423" s="276"/>
      <c r="S423" s="322"/>
      <c r="T423" s="322"/>
      <c r="U423" s="327"/>
      <c r="V423" s="335"/>
      <c r="W423" s="327"/>
      <c r="X423" s="327"/>
      <c r="Y423" s="327"/>
      <c r="Z423" s="107"/>
      <c r="AA423" s="335"/>
      <c r="AB423" s="335"/>
      <c r="AC423" s="327"/>
      <c r="AD423" s="327"/>
      <c r="AE423" s="327"/>
      <c r="AF423" s="327"/>
      <c r="AG423" s="327"/>
      <c r="AH423" s="327"/>
      <c r="AI423" s="327"/>
      <c r="AJ423" s="327"/>
      <c r="AK423" s="336"/>
      <c r="AL423" s="42"/>
    </row>
    <row r="424" spans="2:38" x14ac:dyDescent="0.25">
      <c r="B424" s="327"/>
      <c r="C424" s="327"/>
      <c r="D424" s="327"/>
      <c r="E424" s="327"/>
      <c r="F424" s="327"/>
      <c r="G424" s="327"/>
      <c r="H424" s="312"/>
      <c r="I424" s="327"/>
      <c r="J424" s="327"/>
      <c r="K424" s="334"/>
      <c r="L424" s="322"/>
      <c r="M424" s="322"/>
      <c r="N424" s="327"/>
      <c r="O424" s="327"/>
      <c r="P424" s="331"/>
      <c r="Q424" s="327"/>
      <c r="R424" s="276"/>
      <c r="S424" s="322"/>
      <c r="T424" s="322"/>
      <c r="U424" s="327"/>
      <c r="V424" s="335"/>
      <c r="W424" s="327"/>
      <c r="X424" s="327"/>
      <c r="Y424" s="327"/>
      <c r="Z424" s="107"/>
      <c r="AA424" s="335"/>
      <c r="AB424" s="335"/>
      <c r="AC424" s="327"/>
      <c r="AD424" s="327"/>
      <c r="AE424" s="327"/>
      <c r="AF424" s="327"/>
      <c r="AG424" s="327"/>
      <c r="AH424" s="327"/>
      <c r="AI424" s="327"/>
      <c r="AJ424" s="327"/>
      <c r="AK424" s="336"/>
      <c r="AL424" s="42"/>
    </row>
    <row r="425" spans="2:38" x14ac:dyDescent="0.25">
      <c r="B425" s="327"/>
      <c r="C425" s="327"/>
      <c r="D425" s="327"/>
      <c r="E425" s="327"/>
      <c r="F425" s="327"/>
      <c r="G425" s="327"/>
      <c r="H425" s="312"/>
      <c r="I425" s="327"/>
      <c r="J425" s="327"/>
      <c r="K425" s="334"/>
      <c r="L425" s="322"/>
      <c r="M425" s="322"/>
      <c r="N425" s="327"/>
      <c r="O425" s="327"/>
      <c r="P425" s="331"/>
      <c r="Q425" s="327"/>
      <c r="R425" s="276"/>
      <c r="S425" s="322"/>
      <c r="T425" s="322"/>
      <c r="U425" s="327"/>
      <c r="V425" s="335"/>
      <c r="W425" s="327"/>
      <c r="X425" s="327"/>
      <c r="Y425" s="327"/>
      <c r="Z425" s="107"/>
      <c r="AA425" s="335"/>
      <c r="AB425" s="335"/>
      <c r="AC425" s="327"/>
      <c r="AD425" s="327"/>
      <c r="AE425" s="327"/>
      <c r="AF425" s="327"/>
      <c r="AG425" s="327"/>
      <c r="AH425" s="327"/>
      <c r="AI425" s="327"/>
      <c r="AJ425" s="327"/>
      <c r="AK425" s="336"/>
      <c r="AL425" s="42"/>
    </row>
    <row r="426" spans="2:38" x14ac:dyDescent="0.25">
      <c r="B426" s="327"/>
      <c r="C426" s="327"/>
      <c r="D426" s="327"/>
      <c r="E426" s="327"/>
      <c r="F426" s="327"/>
      <c r="G426" s="327"/>
      <c r="H426" s="312"/>
      <c r="I426" s="327"/>
      <c r="J426" s="327"/>
      <c r="K426" s="334"/>
      <c r="L426" s="322"/>
      <c r="M426" s="322"/>
      <c r="N426" s="327"/>
      <c r="O426" s="327"/>
      <c r="P426" s="331"/>
      <c r="Q426" s="327"/>
      <c r="R426" s="276"/>
      <c r="S426" s="322"/>
      <c r="T426" s="322"/>
      <c r="U426" s="327"/>
      <c r="V426" s="335"/>
      <c r="W426" s="327"/>
      <c r="X426" s="327"/>
      <c r="Y426" s="327"/>
      <c r="Z426" s="107"/>
      <c r="AA426" s="335"/>
      <c r="AB426" s="335"/>
      <c r="AC426" s="327"/>
      <c r="AD426" s="327"/>
      <c r="AE426" s="327"/>
      <c r="AF426" s="327"/>
      <c r="AG426" s="327"/>
      <c r="AH426" s="327"/>
      <c r="AI426" s="327"/>
      <c r="AJ426" s="327"/>
      <c r="AK426" s="336"/>
      <c r="AL426" s="42"/>
    </row>
    <row r="427" spans="2:38" x14ac:dyDescent="0.25">
      <c r="B427" s="327"/>
      <c r="C427" s="327"/>
      <c r="D427" s="327"/>
      <c r="E427" s="327"/>
      <c r="F427" s="327"/>
      <c r="G427" s="327"/>
      <c r="H427" s="312"/>
      <c r="I427" s="327"/>
      <c r="J427" s="327"/>
      <c r="K427" s="334"/>
      <c r="L427" s="322"/>
      <c r="M427" s="322"/>
      <c r="N427" s="327"/>
      <c r="O427" s="327"/>
      <c r="P427" s="331"/>
      <c r="Q427" s="327"/>
      <c r="R427" s="276"/>
      <c r="S427" s="322"/>
      <c r="T427" s="322"/>
      <c r="U427" s="327"/>
      <c r="V427" s="335"/>
      <c r="W427" s="327"/>
      <c r="X427" s="327"/>
      <c r="Y427" s="327"/>
      <c r="Z427" s="107"/>
      <c r="AA427" s="335"/>
      <c r="AB427" s="335"/>
      <c r="AC427" s="327"/>
      <c r="AD427" s="327"/>
      <c r="AE427" s="327"/>
      <c r="AF427" s="327"/>
      <c r="AG427" s="327"/>
      <c r="AH427" s="327"/>
      <c r="AI427" s="327"/>
      <c r="AJ427" s="327"/>
      <c r="AK427" s="336"/>
      <c r="AL427" s="42"/>
    </row>
    <row r="428" spans="2:38" x14ac:dyDescent="0.25">
      <c r="B428" s="327"/>
      <c r="C428" s="327"/>
      <c r="D428" s="327"/>
      <c r="E428" s="327"/>
      <c r="F428" s="327"/>
      <c r="G428" s="327"/>
      <c r="H428" s="312"/>
      <c r="I428" s="327"/>
      <c r="J428" s="327"/>
      <c r="K428" s="334"/>
      <c r="L428" s="322"/>
      <c r="M428" s="322"/>
      <c r="N428" s="327"/>
      <c r="O428" s="327"/>
      <c r="P428" s="331"/>
      <c r="Q428" s="327"/>
      <c r="R428" s="276"/>
      <c r="S428" s="322"/>
      <c r="T428" s="322"/>
      <c r="U428" s="327"/>
      <c r="V428" s="335"/>
      <c r="W428" s="327"/>
      <c r="X428" s="327"/>
      <c r="Y428" s="327"/>
      <c r="Z428" s="107"/>
      <c r="AA428" s="335"/>
      <c r="AB428" s="335"/>
      <c r="AC428" s="327"/>
      <c r="AD428" s="327"/>
      <c r="AE428" s="327"/>
      <c r="AF428" s="327"/>
      <c r="AG428" s="327"/>
      <c r="AH428" s="327"/>
      <c r="AI428" s="327"/>
      <c r="AJ428" s="327"/>
      <c r="AK428" s="336"/>
      <c r="AL428" s="42"/>
    </row>
    <row r="429" spans="2:38" x14ac:dyDescent="0.25">
      <c r="B429" s="327"/>
      <c r="C429" s="327"/>
      <c r="D429" s="327"/>
      <c r="E429" s="327"/>
      <c r="F429" s="327"/>
      <c r="G429" s="327"/>
      <c r="H429" s="312"/>
      <c r="I429" s="327"/>
      <c r="J429" s="327"/>
      <c r="K429" s="334"/>
      <c r="L429" s="322"/>
      <c r="M429" s="322"/>
      <c r="N429" s="327"/>
      <c r="O429" s="327"/>
      <c r="P429" s="331"/>
      <c r="Q429" s="327"/>
      <c r="R429" s="276"/>
      <c r="S429" s="322"/>
      <c r="T429" s="322"/>
      <c r="U429" s="327"/>
      <c r="V429" s="335"/>
      <c r="W429" s="327"/>
      <c r="X429" s="327"/>
      <c r="Y429" s="327"/>
      <c r="Z429" s="107"/>
      <c r="AA429" s="335"/>
      <c r="AB429" s="335"/>
      <c r="AC429" s="327"/>
      <c r="AD429" s="327"/>
      <c r="AE429" s="327"/>
      <c r="AF429" s="327"/>
      <c r="AG429" s="327"/>
      <c r="AH429" s="327"/>
      <c r="AI429" s="327"/>
      <c r="AJ429" s="327"/>
      <c r="AK429" s="336"/>
      <c r="AL429" s="42"/>
    </row>
    <row r="430" spans="2:38" x14ac:dyDescent="0.25">
      <c r="B430" s="327"/>
      <c r="C430" s="327"/>
      <c r="D430" s="327"/>
      <c r="E430" s="327"/>
      <c r="F430" s="327"/>
      <c r="G430" s="327"/>
      <c r="H430" s="312"/>
      <c r="I430" s="327"/>
      <c r="J430" s="327"/>
      <c r="K430" s="334"/>
      <c r="L430" s="322"/>
      <c r="M430" s="322"/>
      <c r="N430" s="327"/>
      <c r="O430" s="327"/>
      <c r="P430" s="331"/>
      <c r="Q430" s="327"/>
      <c r="R430" s="276"/>
      <c r="S430" s="322"/>
      <c r="T430" s="322"/>
      <c r="U430" s="327"/>
      <c r="V430" s="335"/>
      <c r="W430" s="327"/>
      <c r="X430" s="327"/>
      <c r="Y430" s="327"/>
      <c r="Z430" s="107"/>
      <c r="AA430" s="335"/>
      <c r="AB430" s="335"/>
      <c r="AC430" s="327"/>
      <c r="AD430" s="327"/>
      <c r="AE430" s="327"/>
      <c r="AF430" s="327"/>
      <c r="AG430" s="327"/>
      <c r="AH430" s="327"/>
      <c r="AI430" s="327"/>
      <c r="AJ430" s="327"/>
      <c r="AK430" s="336"/>
      <c r="AL430" s="42"/>
    </row>
    <row r="431" spans="2:38" x14ac:dyDescent="0.25">
      <c r="B431" s="327"/>
      <c r="C431" s="327"/>
      <c r="D431" s="327"/>
      <c r="E431" s="327"/>
      <c r="F431" s="327"/>
      <c r="G431" s="327"/>
      <c r="H431" s="312"/>
      <c r="I431" s="327"/>
      <c r="J431" s="327"/>
      <c r="K431" s="334"/>
      <c r="L431" s="322"/>
      <c r="M431" s="322"/>
      <c r="N431" s="327"/>
      <c r="O431" s="327"/>
      <c r="P431" s="331"/>
      <c r="Q431" s="327"/>
      <c r="R431" s="276"/>
      <c r="S431" s="322"/>
      <c r="T431" s="322"/>
      <c r="U431" s="327"/>
      <c r="V431" s="335"/>
      <c r="W431" s="327"/>
      <c r="X431" s="327"/>
      <c r="Y431" s="327"/>
      <c r="Z431" s="107"/>
      <c r="AA431" s="335"/>
      <c r="AB431" s="335"/>
      <c r="AC431" s="327"/>
      <c r="AD431" s="327"/>
      <c r="AE431" s="327"/>
      <c r="AF431" s="327"/>
      <c r="AG431" s="327"/>
      <c r="AH431" s="327"/>
      <c r="AI431" s="327"/>
      <c r="AJ431" s="327"/>
      <c r="AK431" s="336"/>
      <c r="AL431" s="42"/>
    </row>
    <row r="432" spans="2:38" x14ac:dyDescent="0.25">
      <c r="B432" s="327"/>
      <c r="C432" s="327"/>
      <c r="D432" s="327"/>
      <c r="E432" s="327"/>
      <c r="F432" s="327"/>
      <c r="G432" s="327"/>
      <c r="H432" s="312"/>
      <c r="I432" s="327"/>
      <c r="J432" s="327"/>
      <c r="K432" s="334"/>
      <c r="L432" s="322"/>
      <c r="M432" s="322"/>
      <c r="N432" s="327"/>
      <c r="O432" s="327"/>
      <c r="P432" s="331"/>
      <c r="Q432" s="327"/>
      <c r="R432" s="276"/>
      <c r="S432" s="322"/>
      <c r="T432" s="322"/>
      <c r="U432" s="327"/>
      <c r="V432" s="335"/>
      <c r="W432" s="327"/>
      <c r="X432" s="327"/>
      <c r="Y432" s="327"/>
      <c r="Z432" s="107"/>
      <c r="AA432" s="335"/>
      <c r="AB432" s="335"/>
      <c r="AC432" s="327"/>
      <c r="AD432" s="327"/>
      <c r="AE432" s="327"/>
      <c r="AF432" s="327"/>
      <c r="AG432" s="327"/>
      <c r="AH432" s="327"/>
      <c r="AI432" s="327"/>
      <c r="AJ432" s="327"/>
      <c r="AK432" s="336"/>
      <c r="AL432" s="42"/>
    </row>
    <row r="433" spans="2:38" x14ac:dyDescent="0.25">
      <c r="B433" s="327"/>
      <c r="C433" s="327"/>
      <c r="D433" s="327"/>
      <c r="E433" s="327"/>
      <c r="F433" s="327"/>
      <c r="G433" s="327"/>
      <c r="H433" s="312"/>
      <c r="I433" s="327"/>
      <c r="J433" s="327"/>
      <c r="K433" s="334"/>
      <c r="L433" s="322"/>
      <c r="M433" s="322"/>
      <c r="N433" s="327"/>
      <c r="O433" s="327"/>
      <c r="P433" s="331"/>
      <c r="Q433" s="327"/>
      <c r="R433" s="276"/>
      <c r="S433" s="322"/>
      <c r="T433" s="322"/>
      <c r="U433" s="327"/>
      <c r="V433" s="335"/>
      <c r="W433" s="327"/>
      <c r="X433" s="327"/>
      <c r="Y433" s="327"/>
      <c r="Z433" s="107"/>
      <c r="AA433" s="335"/>
      <c r="AB433" s="335"/>
      <c r="AC433" s="327"/>
      <c r="AD433" s="327"/>
      <c r="AE433" s="327"/>
      <c r="AF433" s="327"/>
      <c r="AG433" s="327"/>
      <c r="AH433" s="327"/>
      <c r="AI433" s="327"/>
      <c r="AJ433" s="327"/>
      <c r="AK433" s="336"/>
      <c r="AL433" s="42"/>
    </row>
    <row r="434" spans="2:38" x14ac:dyDescent="0.25">
      <c r="B434" s="327"/>
      <c r="C434" s="327"/>
      <c r="D434" s="327"/>
      <c r="E434" s="327"/>
      <c r="F434" s="327"/>
      <c r="G434" s="327"/>
      <c r="H434" s="312"/>
      <c r="I434" s="327"/>
      <c r="J434" s="327"/>
      <c r="K434" s="334"/>
      <c r="L434" s="322"/>
      <c r="M434" s="322"/>
      <c r="N434" s="327"/>
      <c r="O434" s="327"/>
      <c r="P434" s="331"/>
      <c r="Q434" s="327"/>
      <c r="R434" s="276"/>
      <c r="S434" s="322"/>
      <c r="T434" s="322"/>
      <c r="U434" s="327"/>
      <c r="V434" s="335"/>
      <c r="W434" s="327"/>
      <c r="X434" s="327"/>
      <c r="Y434" s="327"/>
      <c r="Z434" s="107"/>
      <c r="AA434" s="335"/>
      <c r="AB434" s="335"/>
      <c r="AC434" s="327"/>
      <c r="AD434" s="327"/>
      <c r="AE434" s="327"/>
      <c r="AF434" s="327"/>
      <c r="AG434" s="327"/>
      <c r="AH434" s="327"/>
      <c r="AI434" s="327"/>
      <c r="AJ434" s="327"/>
      <c r="AK434" s="336"/>
      <c r="AL434" s="42"/>
    </row>
    <row r="435" spans="2:38" x14ac:dyDescent="0.25">
      <c r="B435" s="327"/>
      <c r="C435" s="327"/>
      <c r="D435" s="327"/>
      <c r="E435" s="327"/>
      <c r="F435" s="327"/>
      <c r="G435" s="327"/>
      <c r="H435" s="312"/>
      <c r="I435" s="327"/>
      <c r="J435" s="327"/>
      <c r="K435" s="334"/>
      <c r="L435" s="322"/>
      <c r="M435" s="322"/>
      <c r="N435" s="327"/>
      <c r="O435" s="327"/>
      <c r="P435" s="331"/>
      <c r="Q435" s="327"/>
      <c r="R435" s="276"/>
      <c r="S435" s="322"/>
      <c r="T435" s="322"/>
      <c r="U435" s="327"/>
      <c r="V435" s="335"/>
      <c r="W435" s="327"/>
      <c r="X435" s="327"/>
      <c r="Y435" s="327"/>
      <c r="Z435" s="107"/>
      <c r="AA435" s="335"/>
      <c r="AB435" s="335"/>
      <c r="AC435" s="327"/>
      <c r="AD435" s="327"/>
      <c r="AE435" s="327"/>
      <c r="AF435" s="327"/>
      <c r="AG435" s="327"/>
      <c r="AH435" s="327"/>
      <c r="AI435" s="327"/>
      <c r="AJ435" s="327"/>
      <c r="AK435" s="336"/>
      <c r="AL435" s="42"/>
    </row>
    <row r="436" spans="2:38" x14ac:dyDescent="0.25">
      <c r="B436" s="327"/>
      <c r="C436" s="327"/>
      <c r="D436" s="327"/>
      <c r="E436" s="327"/>
      <c r="F436" s="327"/>
      <c r="G436" s="327"/>
      <c r="H436" s="312"/>
      <c r="I436" s="327"/>
      <c r="J436" s="327"/>
      <c r="K436" s="334"/>
      <c r="L436" s="322"/>
      <c r="M436" s="322"/>
      <c r="N436" s="327"/>
      <c r="O436" s="327"/>
      <c r="P436" s="331"/>
      <c r="Q436" s="327"/>
      <c r="R436" s="276"/>
      <c r="S436" s="322"/>
      <c r="T436" s="322"/>
      <c r="U436" s="327"/>
      <c r="V436" s="335"/>
      <c r="W436" s="327"/>
      <c r="X436" s="327"/>
      <c r="Y436" s="327"/>
      <c r="Z436" s="107"/>
      <c r="AA436" s="335"/>
      <c r="AB436" s="335"/>
      <c r="AC436" s="327"/>
      <c r="AD436" s="327"/>
      <c r="AE436" s="327"/>
      <c r="AF436" s="327"/>
      <c r="AG436" s="327"/>
      <c r="AH436" s="327"/>
      <c r="AI436" s="327"/>
      <c r="AJ436" s="327"/>
      <c r="AK436" s="336"/>
      <c r="AL436" s="42"/>
    </row>
    <row r="437" spans="2:38" x14ac:dyDescent="0.25">
      <c r="B437" s="327"/>
      <c r="C437" s="327"/>
      <c r="D437" s="327"/>
      <c r="E437" s="327"/>
      <c r="F437" s="327"/>
      <c r="G437" s="327"/>
      <c r="H437" s="312"/>
      <c r="I437" s="327"/>
      <c r="J437" s="327"/>
      <c r="K437" s="334"/>
      <c r="L437" s="322"/>
      <c r="M437" s="322"/>
      <c r="N437" s="327"/>
      <c r="O437" s="327"/>
      <c r="P437" s="331"/>
      <c r="Q437" s="327"/>
      <c r="R437" s="276"/>
      <c r="S437" s="322"/>
      <c r="T437" s="322"/>
      <c r="U437" s="327"/>
      <c r="V437" s="335"/>
      <c r="W437" s="327"/>
      <c r="X437" s="327"/>
      <c r="Y437" s="327"/>
      <c r="Z437" s="107"/>
      <c r="AA437" s="335"/>
      <c r="AB437" s="335"/>
      <c r="AC437" s="327"/>
      <c r="AD437" s="327"/>
      <c r="AE437" s="327"/>
      <c r="AF437" s="327"/>
      <c r="AG437" s="327"/>
      <c r="AH437" s="327"/>
      <c r="AI437" s="327"/>
      <c r="AJ437" s="327"/>
      <c r="AK437" s="336"/>
      <c r="AL437" s="42"/>
    </row>
    <row r="438" spans="2:38" x14ac:dyDescent="0.25">
      <c r="B438" s="327"/>
      <c r="C438" s="327"/>
      <c r="D438" s="327"/>
      <c r="E438" s="327"/>
      <c r="F438" s="327"/>
      <c r="G438" s="327"/>
      <c r="H438" s="312"/>
      <c r="I438" s="327"/>
      <c r="J438" s="327"/>
      <c r="K438" s="334"/>
      <c r="L438" s="322"/>
      <c r="M438" s="322"/>
      <c r="N438" s="327"/>
      <c r="O438" s="327"/>
      <c r="P438" s="331"/>
      <c r="Q438" s="327"/>
      <c r="R438" s="276"/>
      <c r="S438" s="322"/>
      <c r="T438" s="322"/>
      <c r="U438" s="327"/>
      <c r="V438" s="335"/>
      <c r="W438" s="327"/>
      <c r="X438" s="327"/>
      <c r="Y438" s="327"/>
      <c r="Z438" s="107"/>
      <c r="AA438" s="335"/>
      <c r="AB438" s="335"/>
      <c r="AC438" s="327"/>
      <c r="AD438" s="327"/>
      <c r="AE438" s="327"/>
      <c r="AF438" s="327"/>
      <c r="AG438" s="327"/>
      <c r="AH438" s="327"/>
      <c r="AI438" s="327"/>
      <c r="AJ438" s="327"/>
      <c r="AK438" s="336"/>
      <c r="AL438" s="42"/>
    </row>
    <row r="439" spans="2:38" x14ac:dyDescent="0.25">
      <c r="B439" s="327"/>
      <c r="C439" s="327"/>
      <c r="D439" s="327"/>
      <c r="E439" s="327"/>
      <c r="F439" s="327"/>
      <c r="G439" s="327"/>
      <c r="H439" s="312"/>
      <c r="I439" s="327"/>
      <c r="J439" s="327"/>
      <c r="K439" s="334"/>
      <c r="L439" s="322"/>
      <c r="M439" s="322"/>
      <c r="N439" s="327"/>
      <c r="O439" s="327"/>
      <c r="P439" s="331"/>
      <c r="Q439" s="327"/>
      <c r="R439" s="276"/>
      <c r="S439" s="322"/>
      <c r="T439" s="322"/>
      <c r="U439" s="327"/>
      <c r="V439" s="335"/>
      <c r="W439" s="327"/>
      <c r="X439" s="327"/>
      <c r="Y439" s="327"/>
      <c r="Z439" s="107"/>
      <c r="AA439" s="335"/>
      <c r="AB439" s="335"/>
      <c r="AC439" s="327"/>
      <c r="AD439" s="327"/>
      <c r="AE439" s="327"/>
      <c r="AF439" s="327"/>
      <c r="AG439" s="327"/>
      <c r="AH439" s="327"/>
      <c r="AI439" s="327"/>
      <c r="AJ439" s="327"/>
      <c r="AK439" s="336"/>
      <c r="AL439" s="42"/>
    </row>
    <row r="440" spans="2:38" x14ac:dyDescent="0.25">
      <c r="B440" s="327"/>
      <c r="C440" s="327"/>
      <c r="D440" s="327"/>
      <c r="E440" s="327"/>
      <c r="F440" s="327"/>
      <c r="G440" s="327"/>
      <c r="H440" s="312"/>
      <c r="I440" s="327"/>
      <c r="J440" s="327"/>
      <c r="K440" s="334"/>
      <c r="L440" s="322"/>
      <c r="M440" s="322"/>
      <c r="N440" s="327"/>
      <c r="O440" s="327"/>
      <c r="P440" s="331"/>
      <c r="Q440" s="327"/>
      <c r="R440" s="276"/>
      <c r="S440" s="322"/>
      <c r="T440" s="322"/>
      <c r="U440" s="327"/>
      <c r="V440" s="335"/>
      <c r="W440" s="327"/>
      <c r="X440" s="327"/>
      <c r="Y440" s="327"/>
      <c r="Z440" s="107"/>
      <c r="AA440" s="335"/>
      <c r="AB440" s="335"/>
      <c r="AC440" s="327"/>
      <c r="AD440" s="327"/>
      <c r="AE440" s="327"/>
      <c r="AF440" s="327"/>
      <c r="AG440" s="327"/>
      <c r="AH440" s="327"/>
      <c r="AI440" s="327"/>
      <c r="AJ440" s="327"/>
      <c r="AK440" s="336"/>
      <c r="AL440" s="42"/>
    </row>
    <row r="441" spans="2:38" x14ac:dyDescent="0.25">
      <c r="B441" s="327"/>
      <c r="C441" s="327"/>
      <c r="D441" s="327"/>
      <c r="E441" s="327"/>
      <c r="F441" s="327"/>
      <c r="G441" s="327"/>
      <c r="H441" s="312"/>
      <c r="I441" s="327"/>
      <c r="J441" s="327"/>
      <c r="K441" s="334"/>
      <c r="L441" s="322"/>
      <c r="M441" s="322"/>
      <c r="N441" s="327"/>
      <c r="O441" s="327"/>
      <c r="P441" s="331"/>
      <c r="Q441" s="327"/>
      <c r="R441" s="276"/>
      <c r="S441" s="322"/>
      <c r="T441" s="322"/>
      <c r="U441" s="327"/>
      <c r="V441" s="335"/>
      <c r="W441" s="327"/>
      <c r="X441" s="327"/>
      <c r="Y441" s="327"/>
      <c r="Z441" s="107"/>
      <c r="AA441" s="335"/>
      <c r="AB441" s="335"/>
      <c r="AC441" s="327"/>
      <c r="AD441" s="327"/>
      <c r="AE441" s="327"/>
      <c r="AF441" s="327"/>
      <c r="AG441" s="327"/>
      <c r="AH441" s="327"/>
      <c r="AI441" s="327"/>
      <c r="AJ441" s="327"/>
      <c r="AK441" s="336"/>
      <c r="AL441" s="42"/>
    </row>
    <row r="442" spans="2:38" x14ac:dyDescent="0.25">
      <c r="B442" s="327"/>
      <c r="C442" s="327"/>
      <c r="D442" s="327"/>
      <c r="E442" s="327"/>
      <c r="F442" s="327"/>
      <c r="G442" s="327"/>
      <c r="H442" s="312"/>
      <c r="I442" s="327"/>
      <c r="J442" s="327"/>
      <c r="K442" s="334"/>
      <c r="L442" s="322"/>
      <c r="M442" s="322"/>
      <c r="N442" s="327"/>
      <c r="O442" s="327"/>
      <c r="P442" s="331"/>
      <c r="Q442" s="327"/>
      <c r="R442" s="276"/>
      <c r="S442" s="322"/>
      <c r="T442" s="322"/>
      <c r="U442" s="327"/>
      <c r="V442" s="335"/>
      <c r="W442" s="327"/>
      <c r="X442" s="327"/>
      <c r="Y442" s="327"/>
      <c r="Z442" s="107"/>
      <c r="AA442" s="335"/>
      <c r="AB442" s="335"/>
      <c r="AC442" s="327"/>
      <c r="AD442" s="327"/>
      <c r="AE442" s="327"/>
      <c r="AF442" s="327"/>
      <c r="AG442" s="327"/>
      <c r="AH442" s="327"/>
      <c r="AI442" s="327"/>
      <c r="AJ442" s="327"/>
      <c r="AK442" s="336"/>
      <c r="AL442" s="42"/>
    </row>
    <row r="443" spans="2:38" x14ac:dyDescent="0.25">
      <c r="B443" s="327"/>
      <c r="C443" s="327"/>
      <c r="D443" s="327"/>
      <c r="E443" s="327"/>
      <c r="F443" s="327"/>
      <c r="G443" s="327"/>
      <c r="H443" s="312"/>
      <c r="I443" s="327"/>
      <c r="J443" s="327"/>
      <c r="K443" s="334"/>
      <c r="L443" s="322"/>
      <c r="M443" s="322"/>
      <c r="N443" s="327"/>
      <c r="O443" s="327"/>
      <c r="P443" s="331"/>
      <c r="Q443" s="327"/>
      <c r="R443" s="276"/>
      <c r="S443" s="322"/>
      <c r="T443" s="322"/>
      <c r="U443" s="327"/>
      <c r="V443" s="335"/>
      <c r="W443" s="327"/>
      <c r="X443" s="327"/>
      <c r="Y443" s="327"/>
      <c r="Z443" s="107"/>
      <c r="AA443" s="335"/>
      <c r="AB443" s="335"/>
      <c r="AC443" s="327"/>
      <c r="AD443" s="327"/>
      <c r="AE443" s="327"/>
      <c r="AF443" s="327"/>
      <c r="AG443" s="327"/>
      <c r="AH443" s="327"/>
      <c r="AI443" s="327"/>
      <c r="AJ443" s="327"/>
      <c r="AK443" s="336"/>
      <c r="AL443" s="42"/>
    </row>
    <row r="444" spans="2:38" x14ac:dyDescent="0.25">
      <c r="B444" s="327"/>
      <c r="C444" s="327"/>
      <c r="D444" s="327"/>
      <c r="E444" s="327"/>
      <c r="F444" s="327"/>
      <c r="G444" s="327"/>
      <c r="H444" s="312"/>
      <c r="I444" s="327"/>
      <c r="J444" s="327"/>
      <c r="K444" s="334"/>
      <c r="L444" s="322"/>
      <c r="M444" s="322"/>
      <c r="N444" s="327"/>
      <c r="O444" s="327"/>
      <c r="P444" s="331"/>
      <c r="Q444" s="327"/>
      <c r="R444" s="276"/>
      <c r="S444" s="322"/>
      <c r="T444" s="322"/>
      <c r="U444" s="327"/>
      <c r="V444" s="335"/>
      <c r="W444" s="327"/>
      <c r="X444" s="327"/>
      <c r="Y444" s="327"/>
      <c r="Z444" s="107"/>
      <c r="AA444" s="335"/>
      <c r="AB444" s="335"/>
      <c r="AC444" s="327"/>
      <c r="AD444" s="327"/>
      <c r="AE444" s="327"/>
      <c r="AF444" s="327"/>
      <c r="AG444" s="327"/>
      <c r="AH444" s="327"/>
      <c r="AI444" s="327"/>
      <c r="AJ444" s="327"/>
      <c r="AK444" s="336"/>
      <c r="AL444" s="42"/>
    </row>
    <row r="445" spans="2:38" x14ac:dyDescent="0.25">
      <c r="B445" s="327"/>
      <c r="C445" s="327"/>
      <c r="D445" s="327"/>
      <c r="E445" s="327"/>
      <c r="F445" s="327"/>
      <c r="G445" s="327"/>
      <c r="H445" s="312"/>
      <c r="I445" s="327"/>
      <c r="J445" s="327"/>
      <c r="K445" s="334"/>
      <c r="L445" s="322"/>
      <c r="M445" s="322"/>
      <c r="N445" s="327"/>
      <c r="O445" s="327"/>
      <c r="P445" s="331"/>
      <c r="Q445" s="327"/>
      <c r="R445" s="276"/>
      <c r="S445" s="322"/>
      <c r="T445" s="322"/>
      <c r="U445" s="327"/>
      <c r="V445" s="335"/>
      <c r="W445" s="327"/>
      <c r="X445" s="327"/>
      <c r="Y445" s="327"/>
      <c r="Z445" s="107"/>
      <c r="AA445" s="335"/>
      <c r="AB445" s="335"/>
      <c r="AC445" s="327"/>
      <c r="AD445" s="327"/>
      <c r="AE445" s="327"/>
      <c r="AF445" s="327"/>
      <c r="AG445" s="327"/>
      <c r="AH445" s="327"/>
      <c r="AI445" s="327"/>
      <c r="AJ445" s="327"/>
      <c r="AK445" s="336"/>
      <c r="AL445" s="42"/>
    </row>
    <row r="446" spans="2:38" x14ac:dyDescent="0.25">
      <c r="B446" s="327"/>
      <c r="C446" s="327"/>
      <c r="D446" s="327"/>
      <c r="E446" s="327"/>
      <c r="F446" s="327"/>
      <c r="G446" s="327"/>
      <c r="H446" s="312"/>
      <c r="I446" s="327"/>
      <c r="J446" s="327"/>
      <c r="K446" s="334"/>
      <c r="L446" s="322"/>
      <c r="M446" s="322"/>
      <c r="N446" s="327"/>
      <c r="O446" s="327"/>
      <c r="P446" s="331"/>
      <c r="Q446" s="327"/>
      <c r="R446" s="276"/>
      <c r="S446" s="322"/>
      <c r="T446" s="322"/>
      <c r="U446" s="327"/>
      <c r="V446" s="335"/>
      <c r="W446" s="327"/>
      <c r="X446" s="327"/>
      <c r="Y446" s="327"/>
      <c r="Z446" s="107"/>
      <c r="AA446" s="335"/>
      <c r="AB446" s="335"/>
      <c r="AC446" s="327"/>
      <c r="AD446" s="327"/>
      <c r="AE446" s="327"/>
      <c r="AF446" s="327"/>
      <c r="AG446" s="327"/>
      <c r="AH446" s="327"/>
      <c r="AI446" s="327"/>
      <c r="AJ446" s="327"/>
      <c r="AK446" s="336"/>
      <c r="AL446" s="42"/>
    </row>
    <row r="447" spans="2:38" x14ac:dyDescent="0.25">
      <c r="B447" s="327"/>
      <c r="C447" s="327"/>
      <c r="D447" s="327"/>
      <c r="E447" s="327"/>
      <c r="F447" s="327"/>
      <c r="G447" s="327"/>
      <c r="H447" s="312"/>
      <c r="I447" s="327"/>
      <c r="J447" s="327"/>
      <c r="K447" s="334"/>
      <c r="L447" s="322"/>
      <c r="M447" s="322"/>
      <c r="N447" s="327"/>
      <c r="O447" s="327"/>
      <c r="P447" s="331"/>
      <c r="Q447" s="327"/>
      <c r="R447" s="276"/>
      <c r="S447" s="322"/>
      <c r="T447" s="322"/>
      <c r="U447" s="327"/>
      <c r="V447" s="335"/>
      <c r="W447" s="327"/>
      <c r="X447" s="327"/>
      <c r="Y447" s="327"/>
      <c r="Z447" s="107"/>
      <c r="AA447" s="335"/>
      <c r="AB447" s="335"/>
      <c r="AC447" s="327"/>
      <c r="AD447" s="327"/>
      <c r="AE447" s="327"/>
      <c r="AF447" s="327"/>
      <c r="AG447" s="327"/>
      <c r="AH447" s="327"/>
      <c r="AI447" s="327"/>
      <c r="AJ447" s="327"/>
      <c r="AK447" s="336"/>
      <c r="AL447" s="42"/>
    </row>
    <row r="448" spans="2:38" x14ac:dyDescent="0.25">
      <c r="B448" s="327"/>
      <c r="C448" s="327"/>
      <c r="D448" s="327"/>
      <c r="E448" s="327"/>
      <c r="F448" s="327"/>
      <c r="G448" s="327"/>
      <c r="H448" s="312"/>
      <c r="I448" s="327"/>
      <c r="J448" s="327"/>
      <c r="K448" s="334"/>
      <c r="L448" s="322"/>
      <c r="M448" s="322"/>
      <c r="N448" s="327"/>
      <c r="O448" s="327"/>
      <c r="P448" s="331"/>
      <c r="Q448" s="327"/>
      <c r="R448" s="276"/>
      <c r="S448" s="322"/>
      <c r="T448" s="322"/>
      <c r="U448" s="327"/>
      <c r="V448" s="335"/>
      <c r="W448" s="327"/>
      <c r="X448" s="327"/>
      <c r="Y448" s="327"/>
      <c r="Z448" s="107"/>
      <c r="AA448" s="335"/>
      <c r="AB448" s="335"/>
      <c r="AC448" s="327"/>
      <c r="AD448" s="327"/>
      <c r="AE448" s="327"/>
      <c r="AF448" s="327"/>
      <c r="AG448" s="327"/>
      <c r="AH448" s="327"/>
      <c r="AI448" s="327"/>
      <c r="AJ448" s="327"/>
      <c r="AK448" s="336"/>
      <c r="AL448" s="42"/>
    </row>
    <row r="449" spans="2:38" x14ac:dyDescent="0.25">
      <c r="B449" s="327"/>
      <c r="C449" s="327"/>
      <c r="D449" s="327"/>
      <c r="E449" s="327"/>
      <c r="F449" s="327"/>
      <c r="G449" s="327"/>
      <c r="H449" s="312"/>
      <c r="I449" s="327"/>
      <c r="J449" s="327"/>
      <c r="K449" s="334"/>
      <c r="L449" s="322"/>
      <c r="M449" s="322"/>
      <c r="N449" s="327"/>
      <c r="O449" s="327"/>
      <c r="P449" s="331"/>
      <c r="Q449" s="327"/>
      <c r="R449" s="276"/>
      <c r="S449" s="322"/>
      <c r="T449" s="322"/>
      <c r="U449" s="327"/>
      <c r="V449" s="335"/>
      <c r="W449" s="327"/>
      <c r="X449" s="327"/>
      <c r="Y449" s="327"/>
      <c r="Z449" s="107"/>
      <c r="AA449" s="335"/>
      <c r="AB449" s="335"/>
      <c r="AC449" s="327"/>
      <c r="AD449" s="327"/>
      <c r="AE449" s="327"/>
      <c r="AF449" s="327"/>
      <c r="AG449" s="327"/>
      <c r="AH449" s="327"/>
      <c r="AI449" s="327"/>
      <c r="AJ449" s="327"/>
      <c r="AK449" s="336"/>
      <c r="AL449" s="42"/>
    </row>
    <row r="450" spans="2:38" x14ac:dyDescent="0.25">
      <c r="B450" s="327"/>
      <c r="C450" s="327"/>
      <c r="D450" s="327"/>
      <c r="E450" s="327"/>
      <c r="F450" s="327"/>
      <c r="G450" s="327"/>
      <c r="H450" s="312"/>
      <c r="I450" s="327"/>
      <c r="J450" s="327"/>
      <c r="K450" s="334"/>
      <c r="L450" s="322"/>
      <c r="M450" s="322"/>
      <c r="N450" s="327"/>
      <c r="O450" s="327"/>
      <c r="P450" s="331"/>
      <c r="Q450" s="327"/>
      <c r="R450" s="276"/>
      <c r="S450" s="322"/>
      <c r="T450" s="322"/>
      <c r="U450" s="327"/>
      <c r="V450" s="335"/>
      <c r="W450" s="327"/>
      <c r="X450" s="327"/>
      <c r="Y450" s="327"/>
      <c r="Z450" s="107"/>
      <c r="AA450" s="335"/>
      <c r="AB450" s="335"/>
      <c r="AC450" s="327"/>
      <c r="AD450" s="327"/>
      <c r="AE450" s="327"/>
      <c r="AF450" s="327"/>
      <c r="AG450" s="327"/>
      <c r="AH450" s="327"/>
      <c r="AI450" s="327"/>
      <c r="AJ450" s="327"/>
      <c r="AK450" s="336"/>
      <c r="AL450" s="42"/>
    </row>
    <row r="451" spans="2:38" x14ac:dyDescent="0.25">
      <c r="B451" s="327"/>
      <c r="C451" s="327"/>
      <c r="D451" s="327"/>
      <c r="E451" s="327"/>
      <c r="F451" s="327"/>
      <c r="G451" s="327"/>
      <c r="H451" s="312"/>
      <c r="I451" s="327"/>
      <c r="J451" s="327"/>
      <c r="K451" s="334"/>
      <c r="L451" s="322"/>
      <c r="M451" s="322"/>
      <c r="N451" s="327"/>
      <c r="O451" s="327"/>
      <c r="P451" s="331"/>
      <c r="Q451" s="327"/>
      <c r="R451" s="276"/>
      <c r="S451" s="322"/>
      <c r="T451" s="322"/>
      <c r="U451" s="327"/>
      <c r="V451" s="335"/>
      <c r="W451" s="327"/>
      <c r="X451" s="327"/>
      <c r="Y451" s="327"/>
      <c r="Z451" s="107"/>
      <c r="AA451" s="335"/>
      <c r="AB451" s="335"/>
      <c r="AC451" s="327"/>
      <c r="AD451" s="327"/>
      <c r="AE451" s="327"/>
      <c r="AF451" s="327"/>
      <c r="AG451" s="327"/>
      <c r="AH451" s="327"/>
      <c r="AI451" s="327"/>
      <c r="AJ451" s="327"/>
      <c r="AK451" s="336"/>
      <c r="AL451" s="42"/>
    </row>
    <row r="452" spans="2:38" x14ac:dyDescent="0.25">
      <c r="B452" s="327"/>
      <c r="C452" s="327"/>
      <c r="D452" s="327"/>
      <c r="E452" s="327"/>
      <c r="F452" s="327"/>
      <c r="G452" s="327"/>
      <c r="H452" s="312"/>
      <c r="I452" s="327"/>
      <c r="J452" s="327"/>
      <c r="K452" s="334"/>
      <c r="L452" s="322"/>
      <c r="M452" s="322"/>
      <c r="N452" s="327"/>
      <c r="O452" s="327"/>
      <c r="P452" s="331"/>
      <c r="Q452" s="327"/>
      <c r="R452" s="276"/>
      <c r="S452" s="322"/>
      <c r="T452" s="322"/>
      <c r="U452" s="327"/>
      <c r="V452" s="335"/>
      <c r="W452" s="327"/>
      <c r="X452" s="327"/>
      <c r="Y452" s="327"/>
      <c r="Z452" s="107"/>
      <c r="AA452" s="335"/>
      <c r="AB452" s="335"/>
      <c r="AC452" s="327"/>
      <c r="AD452" s="327"/>
      <c r="AE452" s="327"/>
      <c r="AF452" s="327"/>
      <c r="AG452" s="327"/>
      <c r="AH452" s="327"/>
      <c r="AI452" s="327"/>
      <c r="AJ452" s="327"/>
      <c r="AK452" s="336"/>
      <c r="AL452" s="42"/>
    </row>
    <row r="453" spans="2:38" x14ac:dyDescent="0.25">
      <c r="B453" s="327"/>
      <c r="C453" s="327"/>
      <c r="D453" s="327"/>
      <c r="E453" s="327"/>
      <c r="F453" s="327"/>
      <c r="G453" s="327"/>
      <c r="H453" s="312"/>
      <c r="I453" s="327"/>
      <c r="J453" s="327"/>
      <c r="K453" s="334"/>
      <c r="L453" s="322"/>
      <c r="M453" s="322"/>
      <c r="N453" s="327"/>
      <c r="O453" s="327"/>
      <c r="P453" s="331"/>
      <c r="Q453" s="327"/>
      <c r="R453" s="276"/>
      <c r="S453" s="322"/>
      <c r="T453" s="322"/>
      <c r="U453" s="327"/>
      <c r="V453" s="335"/>
      <c r="W453" s="327"/>
      <c r="X453" s="327"/>
      <c r="Y453" s="327"/>
      <c r="Z453" s="107"/>
      <c r="AA453" s="335"/>
      <c r="AB453" s="335"/>
      <c r="AC453" s="327"/>
      <c r="AD453" s="327"/>
      <c r="AE453" s="327"/>
      <c r="AF453" s="327"/>
      <c r="AG453" s="327"/>
      <c r="AH453" s="327"/>
      <c r="AI453" s="327"/>
      <c r="AJ453" s="327"/>
      <c r="AK453" s="336"/>
      <c r="AL453" s="42"/>
    </row>
    <row r="454" spans="2:38" x14ac:dyDescent="0.25">
      <c r="B454" s="327"/>
      <c r="C454" s="327"/>
      <c r="D454" s="327"/>
      <c r="E454" s="327"/>
      <c r="F454" s="327"/>
      <c r="G454" s="327"/>
      <c r="H454" s="312"/>
      <c r="I454" s="327"/>
      <c r="J454" s="327"/>
      <c r="K454" s="334"/>
      <c r="L454" s="322"/>
      <c r="M454" s="322"/>
      <c r="N454" s="327"/>
      <c r="O454" s="327"/>
      <c r="P454" s="331"/>
      <c r="Q454" s="327"/>
      <c r="R454" s="276"/>
      <c r="S454" s="322"/>
      <c r="T454" s="322"/>
      <c r="U454" s="327"/>
      <c r="V454" s="335"/>
      <c r="W454" s="327"/>
      <c r="X454" s="327"/>
      <c r="Y454" s="327"/>
      <c r="Z454" s="107"/>
      <c r="AA454" s="335"/>
      <c r="AB454" s="335"/>
      <c r="AC454" s="327"/>
      <c r="AD454" s="327"/>
      <c r="AE454" s="327"/>
      <c r="AF454" s="327"/>
      <c r="AG454" s="327"/>
      <c r="AH454" s="327"/>
      <c r="AI454" s="327"/>
      <c r="AJ454" s="327"/>
      <c r="AK454" s="336"/>
      <c r="AL454" s="42"/>
    </row>
    <row r="455" spans="2:38" x14ac:dyDescent="0.25">
      <c r="B455" s="327"/>
      <c r="C455" s="327"/>
      <c r="D455" s="327"/>
      <c r="E455" s="327"/>
      <c r="F455" s="327"/>
      <c r="G455" s="327"/>
      <c r="H455" s="312"/>
      <c r="I455" s="327"/>
      <c r="J455" s="327"/>
      <c r="K455" s="334"/>
      <c r="L455" s="322"/>
      <c r="M455" s="322"/>
      <c r="N455" s="327"/>
      <c r="O455" s="327"/>
      <c r="P455" s="331"/>
      <c r="Q455" s="327"/>
      <c r="R455" s="276"/>
      <c r="S455" s="322"/>
      <c r="T455" s="322"/>
      <c r="U455" s="327"/>
      <c r="V455" s="335"/>
      <c r="W455" s="327"/>
      <c r="X455" s="327"/>
      <c r="Y455" s="327"/>
      <c r="Z455" s="107"/>
      <c r="AA455" s="335"/>
      <c r="AB455" s="335"/>
      <c r="AC455" s="327"/>
      <c r="AD455" s="327"/>
      <c r="AE455" s="327"/>
      <c r="AF455" s="327"/>
      <c r="AG455" s="327"/>
      <c r="AH455" s="327"/>
      <c r="AI455" s="327"/>
      <c r="AJ455" s="327"/>
      <c r="AK455" s="336"/>
      <c r="AL455" s="42"/>
    </row>
    <row r="456" spans="2:38" x14ac:dyDescent="0.25">
      <c r="B456" s="327"/>
      <c r="C456" s="327"/>
      <c r="D456" s="327"/>
      <c r="E456" s="327"/>
      <c r="F456" s="327"/>
      <c r="G456" s="327"/>
      <c r="H456" s="312"/>
      <c r="I456" s="327"/>
      <c r="J456" s="327"/>
      <c r="K456" s="334"/>
      <c r="L456" s="322"/>
      <c r="M456" s="322"/>
      <c r="N456" s="327"/>
      <c r="O456" s="327"/>
      <c r="P456" s="331"/>
      <c r="Q456" s="327"/>
      <c r="R456" s="276"/>
      <c r="S456" s="322"/>
      <c r="T456" s="322"/>
      <c r="U456" s="327"/>
      <c r="V456" s="335"/>
      <c r="W456" s="327"/>
      <c r="X456" s="327"/>
      <c r="Y456" s="327"/>
      <c r="Z456" s="107"/>
      <c r="AA456" s="335"/>
      <c r="AB456" s="335"/>
      <c r="AC456" s="327"/>
      <c r="AD456" s="327"/>
      <c r="AE456" s="327"/>
      <c r="AF456" s="327"/>
      <c r="AG456" s="327"/>
      <c r="AH456" s="327"/>
      <c r="AI456" s="327"/>
      <c r="AJ456" s="327"/>
      <c r="AK456" s="336"/>
      <c r="AL456" s="42"/>
    </row>
    <row r="457" spans="2:38" x14ac:dyDescent="0.25">
      <c r="B457" s="327"/>
      <c r="C457" s="327"/>
      <c r="D457" s="327"/>
      <c r="E457" s="327"/>
      <c r="F457" s="327"/>
      <c r="G457" s="327"/>
      <c r="H457" s="312"/>
      <c r="I457" s="327"/>
      <c r="J457" s="327"/>
      <c r="K457" s="334"/>
      <c r="L457" s="322"/>
      <c r="M457" s="322"/>
      <c r="N457" s="327"/>
      <c r="O457" s="327"/>
      <c r="P457" s="331"/>
      <c r="Q457" s="327"/>
      <c r="R457" s="276"/>
      <c r="S457" s="322"/>
      <c r="T457" s="322"/>
      <c r="U457" s="327"/>
      <c r="V457" s="335"/>
      <c r="W457" s="327"/>
      <c r="X457" s="327"/>
      <c r="Y457" s="327"/>
      <c r="Z457" s="107"/>
      <c r="AA457" s="335"/>
      <c r="AB457" s="335"/>
      <c r="AC457" s="327"/>
      <c r="AD457" s="327"/>
      <c r="AE457" s="327"/>
      <c r="AF457" s="327"/>
      <c r="AG457" s="327"/>
      <c r="AH457" s="327"/>
      <c r="AI457" s="327"/>
      <c r="AJ457" s="327"/>
      <c r="AK457" s="336"/>
      <c r="AL457" s="42"/>
    </row>
    <row r="458" spans="2:38" x14ac:dyDescent="0.25">
      <c r="B458" s="327"/>
      <c r="C458" s="327"/>
      <c r="D458" s="327"/>
      <c r="E458" s="327"/>
      <c r="F458" s="327"/>
      <c r="G458" s="327"/>
      <c r="H458" s="312"/>
      <c r="I458" s="327"/>
      <c r="J458" s="327"/>
      <c r="K458" s="334"/>
      <c r="L458" s="322"/>
      <c r="M458" s="322"/>
      <c r="N458" s="327"/>
      <c r="O458" s="327"/>
      <c r="P458" s="331"/>
      <c r="Q458" s="327"/>
      <c r="R458" s="276"/>
      <c r="S458" s="322"/>
      <c r="T458" s="322"/>
      <c r="U458" s="327"/>
      <c r="V458" s="335"/>
      <c r="W458" s="327"/>
      <c r="X458" s="327"/>
      <c r="Y458" s="327"/>
      <c r="Z458" s="107"/>
      <c r="AA458" s="335"/>
      <c r="AB458" s="335"/>
      <c r="AC458" s="327"/>
      <c r="AD458" s="327"/>
      <c r="AE458" s="327"/>
      <c r="AF458" s="327"/>
      <c r="AG458" s="327"/>
      <c r="AH458" s="327"/>
      <c r="AI458" s="327"/>
      <c r="AJ458" s="327"/>
      <c r="AK458" s="336"/>
      <c r="AL458" s="42"/>
    </row>
    <row r="459" spans="2:38" x14ac:dyDescent="0.25">
      <c r="B459" s="327"/>
      <c r="C459" s="327"/>
      <c r="D459" s="327"/>
      <c r="E459" s="327"/>
      <c r="F459" s="327"/>
      <c r="G459" s="327"/>
      <c r="H459" s="312"/>
      <c r="I459" s="327"/>
      <c r="J459" s="327"/>
      <c r="K459" s="334"/>
      <c r="L459" s="322"/>
      <c r="M459" s="322"/>
      <c r="N459" s="327"/>
      <c r="O459" s="327"/>
      <c r="P459" s="331"/>
      <c r="Q459" s="327"/>
      <c r="R459" s="276"/>
      <c r="S459" s="322"/>
      <c r="T459" s="322"/>
      <c r="U459" s="327"/>
      <c r="V459" s="335"/>
      <c r="W459" s="327"/>
      <c r="X459" s="327"/>
      <c r="Y459" s="327"/>
      <c r="Z459" s="107"/>
      <c r="AA459" s="335"/>
      <c r="AB459" s="335"/>
      <c r="AC459" s="327"/>
      <c r="AD459" s="327"/>
      <c r="AE459" s="327"/>
      <c r="AF459" s="327"/>
      <c r="AG459" s="327"/>
      <c r="AH459" s="327"/>
      <c r="AI459" s="327"/>
      <c r="AJ459" s="327"/>
      <c r="AK459" s="336"/>
      <c r="AL459" s="42"/>
    </row>
    <row r="460" spans="2:38" x14ac:dyDescent="0.25">
      <c r="B460" s="327"/>
      <c r="C460" s="327"/>
      <c r="D460" s="327"/>
      <c r="E460" s="327"/>
      <c r="F460" s="327"/>
      <c r="G460" s="327"/>
      <c r="H460" s="312"/>
      <c r="I460" s="327"/>
      <c r="J460" s="327"/>
      <c r="K460" s="334"/>
      <c r="L460" s="322"/>
      <c r="M460" s="322"/>
      <c r="N460" s="327"/>
      <c r="O460" s="327"/>
      <c r="P460" s="331"/>
      <c r="Q460" s="327"/>
      <c r="R460" s="276"/>
      <c r="S460" s="322"/>
      <c r="T460" s="322"/>
      <c r="U460" s="327"/>
      <c r="V460" s="335"/>
      <c r="W460" s="327"/>
      <c r="X460" s="327"/>
      <c r="Y460" s="327"/>
      <c r="Z460" s="107"/>
      <c r="AA460" s="335"/>
      <c r="AB460" s="335"/>
      <c r="AC460" s="327"/>
      <c r="AD460" s="327"/>
      <c r="AE460" s="327"/>
      <c r="AF460" s="327"/>
      <c r="AG460" s="327"/>
      <c r="AH460" s="327"/>
      <c r="AI460" s="327"/>
      <c r="AJ460" s="327"/>
      <c r="AK460" s="336"/>
      <c r="AL460" s="42"/>
    </row>
    <row r="461" spans="2:38" x14ac:dyDescent="0.25">
      <c r="B461" s="327"/>
      <c r="C461" s="327"/>
      <c r="D461" s="327"/>
      <c r="E461" s="327"/>
      <c r="F461" s="327"/>
      <c r="G461" s="327"/>
      <c r="H461" s="312"/>
      <c r="I461" s="327"/>
      <c r="J461" s="327"/>
      <c r="K461" s="334"/>
      <c r="L461" s="322"/>
      <c r="M461" s="322"/>
      <c r="N461" s="327"/>
      <c r="O461" s="327"/>
      <c r="P461" s="331"/>
      <c r="Q461" s="327"/>
      <c r="R461" s="276"/>
      <c r="S461" s="322"/>
      <c r="T461" s="322"/>
      <c r="U461" s="327"/>
      <c r="V461" s="335"/>
      <c r="W461" s="327"/>
      <c r="X461" s="327"/>
      <c r="Y461" s="327"/>
      <c r="Z461" s="107"/>
      <c r="AA461" s="335"/>
      <c r="AB461" s="335"/>
      <c r="AC461" s="327"/>
      <c r="AD461" s="327"/>
      <c r="AE461" s="327"/>
      <c r="AF461" s="327"/>
      <c r="AG461" s="327"/>
      <c r="AH461" s="327"/>
      <c r="AI461" s="327"/>
      <c r="AJ461" s="327"/>
      <c r="AK461" s="336"/>
      <c r="AL461" s="42"/>
    </row>
    <row r="462" spans="2:38" x14ac:dyDescent="0.25">
      <c r="B462" s="327"/>
      <c r="C462" s="327"/>
      <c r="D462" s="327"/>
      <c r="E462" s="327"/>
      <c r="F462" s="327"/>
      <c r="G462" s="327"/>
      <c r="H462" s="312"/>
      <c r="I462" s="327"/>
      <c r="J462" s="327"/>
      <c r="K462" s="334"/>
      <c r="L462" s="322"/>
      <c r="M462" s="322"/>
      <c r="N462" s="327"/>
      <c r="O462" s="327"/>
      <c r="P462" s="331"/>
      <c r="Q462" s="327"/>
      <c r="R462" s="276"/>
      <c r="S462" s="322"/>
      <c r="T462" s="322"/>
      <c r="U462" s="327"/>
      <c r="V462" s="335"/>
      <c r="W462" s="327"/>
      <c r="X462" s="327"/>
      <c r="Y462" s="327"/>
      <c r="Z462" s="107"/>
      <c r="AA462" s="335"/>
      <c r="AB462" s="335"/>
      <c r="AC462" s="327"/>
      <c r="AD462" s="327"/>
      <c r="AE462" s="327"/>
      <c r="AF462" s="327"/>
      <c r="AG462" s="327"/>
      <c r="AH462" s="327"/>
      <c r="AI462" s="327"/>
      <c r="AJ462" s="327"/>
      <c r="AK462" s="336"/>
      <c r="AL462" s="42"/>
    </row>
    <row r="463" spans="2:38" x14ac:dyDescent="0.25">
      <c r="B463" s="327"/>
      <c r="C463" s="327"/>
      <c r="D463" s="327"/>
      <c r="E463" s="327"/>
      <c r="F463" s="327"/>
      <c r="G463" s="327"/>
      <c r="H463" s="312"/>
      <c r="I463" s="327"/>
      <c r="J463" s="327"/>
      <c r="K463" s="334"/>
      <c r="L463" s="322"/>
      <c r="M463" s="322"/>
      <c r="N463" s="327"/>
      <c r="O463" s="327"/>
      <c r="P463" s="331"/>
      <c r="Q463" s="327"/>
      <c r="R463" s="276"/>
      <c r="S463" s="322"/>
      <c r="T463" s="322"/>
      <c r="U463" s="327"/>
      <c r="V463" s="335"/>
      <c r="W463" s="327"/>
      <c r="X463" s="327"/>
      <c r="Y463" s="327"/>
      <c r="Z463" s="107"/>
      <c r="AA463" s="335"/>
      <c r="AB463" s="335"/>
      <c r="AC463" s="327"/>
      <c r="AD463" s="327"/>
      <c r="AE463" s="327"/>
      <c r="AF463" s="327"/>
      <c r="AG463" s="327"/>
      <c r="AH463" s="327"/>
      <c r="AI463" s="327"/>
      <c r="AJ463" s="327"/>
      <c r="AK463" s="336"/>
      <c r="AL463" s="42"/>
    </row>
    <row r="464" spans="2:38" x14ac:dyDescent="0.25">
      <c r="B464" s="327"/>
      <c r="C464" s="327"/>
      <c r="D464" s="327"/>
      <c r="E464" s="327"/>
      <c r="F464" s="327"/>
      <c r="G464" s="327"/>
      <c r="H464" s="312"/>
      <c r="I464" s="327"/>
      <c r="J464" s="327"/>
      <c r="K464" s="334"/>
      <c r="L464" s="322"/>
      <c r="M464" s="322"/>
      <c r="N464" s="327"/>
      <c r="O464" s="327"/>
      <c r="P464" s="331"/>
      <c r="Q464" s="327"/>
      <c r="R464" s="276"/>
      <c r="S464" s="322"/>
      <c r="T464" s="322"/>
      <c r="U464" s="327"/>
      <c r="V464" s="335"/>
      <c r="W464" s="327"/>
      <c r="X464" s="327"/>
      <c r="Y464" s="327"/>
      <c r="Z464" s="107"/>
      <c r="AA464" s="335"/>
      <c r="AB464" s="335"/>
      <c r="AC464" s="327"/>
      <c r="AD464" s="327"/>
      <c r="AE464" s="327"/>
      <c r="AF464" s="327"/>
      <c r="AG464" s="327"/>
      <c r="AH464" s="327"/>
      <c r="AI464" s="327"/>
      <c r="AJ464" s="327"/>
      <c r="AK464" s="336"/>
      <c r="AL464" s="42"/>
    </row>
    <row r="465" spans="2:38" x14ac:dyDescent="0.25">
      <c r="B465" s="327"/>
      <c r="C465" s="327"/>
      <c r="D465" s="327"/>
      <c r="E465" s="327"/>
      <c r="F465" s="327"/>
      <c r="G465" s="327"/>
      <c r="H465" s="312"/>
      <c r="I465" s="327"/>
      <c r="J465" s="327"/>
      <c r="K465" s="334"/>
      <c r="L465" s="322"/>
      <c r="M465" s="322"/>
      <c r="N465" s="327"/>
      <c r="O465" s="327"/>
      <c r="P465" s="331"/>
      <c r="Q465" s="327"/>
      <c r="R465" s="276"/>
      <c r="S465" s="322"/>
      <c r="T465" s="322"/>
      <c r="U465" s="327"/>
      <c r="V465" s="335"/>
      <c r="W465" s="327"/>
      <c r="X465" s="327"/>
      <c r="Y465" s="327"/>
      <c r="Z465" s="107"/>
      <c r="AA465" s="335"/>
      <c r="AB465" s="335"/>
      <c r="AC465" s="327"/>
      <c r="AD465" s="327"/>
      <c r="AE465" s="327"/>
      <c r="AF465" s="327"/>
      <c r="AG465" s="327"/>
      <c r="AH465" s="327"/>
      <c r="AI465" s="327"/>
      <c r="AJ465" s="327"/>
      <c r="AK465" s="336"/>
      <c r="AL465" s="42"/>
    </row>
    <row r="466" spans="2:38" x14ac:dyDescent="0.25">
      <c r="B466" s="327"/>
      <c r="C466" s="327"/>
      <c r="D466" s="327"/>
      <c r="E466" s="327"/>
      <c r="F466" s="327"/>
      <c r="G466" s="327"/>
      <c r="H466" s="312"/>
      <c r="I466" s="327"/>
      <c r="J466" s="327"/>
      <c r="K466" s="334"/>
      <c r="L466" s="322"/>
      <c r="M466" s="322"/>
      <c r="N466" s="327"/>
      <c r="O466" s="327"/>
      <c r="P466" s="331"/>
      <c r="Q466" s="327"/>
      <c r="R466" s="276"/>
      <c r="S466" s="322"/>
      <c r="T466" s="322"/>
      <c r="U466" s="327"/>
      <c r="V466" s="335"/>
      <c r="W466" s="327"/>
      <c r="X466" s="327"/>
      <c r="Y466" s="327"/>
      <c r="Z466" s="107"/>
      <c r="AA466" s="335"/>
      <c r="AB466" s="335"/>
      <c r="AC466" s="327"/>
      <c r="AD466" s="327"/>
      <c r="AE466" s="327"/>
      <c r="AF466" s="327"/>
      <c r="AG466" s="327"/>
      <c r="AH466" s="327"/>
      <c r="AI466" s="327"/>
      <c r="AJ466" s="327"/>
      <c r="AK466" s="336"/>
      <c r="AL466" s="42"/>
    </row>
    <row r="467" spans="2:38" x14ac:dyDescent="0.25">
      <c r="B467" s="327"/>
      <c r="C467" s="327"/>
      <c r="D467" s="327"/>
      <c r="E467" s="327"/>
      <c r="F467" s="327"/>
      <c r="G467" s="327"/>
      <c r="H467" s="312"/>
      <c r="I467" s="327"/>
      <c r="J467" s="327"/>
      <c r="K467" s="334"/>
      <c r="L467" s="322"/>
      <c r="M467" s="322"/>
      <c r="N467" s="327"/>
      <c r="O467" s="327"/>
      <c r="P467" s="331"/>
      <c r="Q467" s="327"/>
      <c r="R467" s="276"/>
      <c r="S467" s="322"/>
      <c r="T467" s="322"/>
      <c r="U467" s="327"/>
      <c r="V467" s="335"/>
      <c r="W467" s="327"/>
      <c r="X467" s="327"/>
      <c r="Y467" s="327"/>
      <c r="Z467" s="107"/>
      <c r="AA467" s="335"/>
      <c r="AB467" s="335"/>
      <c r="AC467" s="327"/>
      <c r="AD467" s="327"/>
      <c r="AE467" s="327"/>
      <c r="AF467" s="327"/>
      <c r="AG467" s="327"/>
      <c r="AH467" s="327"/>
      <c r="AI467" s="327"/>
      <c r="AJ467" s="327"/>
      <c r="AK467" s="336"/>
      <c r="AL467" s="42"/>
    </row>
    <row r="468" spans="2:38" x14ac:dyDescent="0.25">
      <c r="B468" s="327"/>
      <c r="C468" s="327"/>
      <c r="D468" s="327"/>
      <c r="E468" s="327"/>
      <c r="F468" s="327"/>
      <c r="G468" s="327"/>
      <c r="H468" s="312"/>
      <c r="I468" s="327"/>
      <c r="J468" s="327"/>
      <c r="K468" s="334"/>
      <c r="L468" s="322"/>
      <c r="M468" s="322"/>
      <c r="N468" s="327"/>
      <c r="O468" s="327"/>
      <c r="P468" s="331"/>
      <c r="Q468" s="327"/>
      <c r="R468" s="276"/>
      <c r="S468" s="322"/>
      <c r="T468" s="322"/>
      <c r="U468" s="327"/>
      <c r="V468" s="335"/>
      <c r="W468" s="327"/>
      <c r="X468" s="327"/>
      <c r="Y468" s="327"/>
      <c r="Z468" s="107"/>
      <c r="AA468" s="335"/>
      <c r="AB468" s="335"/>
      <c r="AC468" s="327"/>
      <c r="AD468" s="327"/>
      <c r="AE468" s="327"/>
      <c r="AF468" s="327"/>
      <c r="AG468" s="327"/>
      <c r="AH468" s="327"/>
      <c r="AI468" s="327"/>
      <c r="AJ468" s="327"/>
      <c r="AK468" s="336"/>
      <c r="AL468" s="42"/>
    </row>
    <row r="469" spans="2:38" x14ac:dyDescent="0.25">
      <c r="B469" s="327"/>
      <c r="C469" s="327"/>
      <c r="D469" s="327"/>
      <c r="E469" s="327"/>
      <c r="F469" s="327"/>
      <c r="G469" s="327"/>
      <c r="H469" s="312"/>
      <c r="I469" s="327"/>
      <c r="J469" s="327"/>
      <c r="K469" s="334"/>
      <c r="L469" s="322"/>
      <c r="M469" s="322"/>
      <c r="N469" s="327"/>
      <c r="O469" s="327"/>
      <c r="P469" s="331"/>
      <c r="Q469" s="327"/>
      <c r="R469" s="276"/>
      <c r="S469" s="322"/>
      <c r="T469" s="322"/>
      <c r="U469" s="327"/>
      <c r="V469" s="335"/>
      <c r="W469" s="327"/>
      <c r="X469" s="327"/>
      <c r="Y469" s="327"/>
      <c r="Z469" s="107"/>
      <c r="AA469" s="335"/>
      <c r="AB469" s="335"/>
      <c r="AC469" s="327"/>
      <c r="AD469" s="327"/>
      <c r="AE469" s="327"/>
      <c r="AF469" s="327"/>
      <c r="AG469" s="327"/>
      <c r="AH469" s="327"/>
      <c r="AI469" s="327"/>
      <c r="AJ469" s="327"/>
      <c r="AK469" s="336"/>
      <c r="AL469" s="42"/>
    </row>
    <row r="470" spans="2:38" x14ac:dyDescent="0.25">
      <c r="B470" s="327"/>
      <c r="C470" s="327"/>
      <c r="D470" s="327"/>
      <c r="E470" s="327"/>
      <c r="F470" s="327"/>
      <c r="G470" s="327"/>
      <c r="H470" s="312"/>
      <c r="I470" s="327"/>
      <c r="J470" s="327"/>
      <c r="K470" s="334"/>
      <c r="L470" s="322"/>
      <c r="M470" s="322"/>
      <c r="N470" s="327"/>
      <c r="O470" s="327"/>
      <c r="P470" s="331"/>
      <c r="Q470" s="327"/>
      <c r="R470" s="276"/>
      <c r="S470" s="322"/>
      <c r="T470" s="322"/>
      <c r="U470" s="327"/>
      <c r="V470" s="335"/>
      <c r="W470" s="327"/>
      <c r="X470" s="327"/>
      <c r="Y470" s="327"/>
      <c r="Z470" s="107"/>
      <c r="AA470" s="335"/>
      <c r="AB470" s="335"/>
      <c r="AC470" s="327"/>
      <c r="AD470" s="327"/>
      <c r="AE470" s="327"/>
      <c r="AF470" s="327"/>
      <c r="AG470" s="327"/>
      <c r="AH470" s="327"/>
      <c r="AI470" s="327"/>
      <c r="AJ470" s="327"/>
      <c r="AK470" s="336"/>
      <c r="AL470" s="42"/>
    </row>
    <row r="471" spans="2:38" x14ac:dyDescent="0.25">
      <c r="B471" s="327"/>
      <c r="C471" s="327"/>
      <c r="D471" s="327"/>
      <c r="E471" s="327"/>
      <c r="F471" s="327"/>
      <c r="G471" s="327"/>
      <c r="H471" s="312"/>
      <c r="I471" s="327"/>
      <c r="J471" s="327"/>
      <c r="K471" s="334"/>
      <c r="L471" s="322"/>
      <c r="M471" s="322"/>
      <c r="N471" s="327"/>
      <c r="O471" s="327"/>
      <c r="P471" s="331"/>
      <c r="Q471" s="327"/>
      <c r="R471" s="276"/>
      <c r="S471" s="322"/>
      <c r="T471" s="322"/>
      <c r="U471" s="327"/>
      <c r="V471" s="335"/>
      <c r="W471" s="327"/>
      <c r="X471" s="327"/>
      <c r="Y471" s="327"/>
      <c r="Z471" s="107"/>
      <c r="AA471" s="335"/>
      <c r="AB471" s="335"/>
      <c r="AC471" s="327"/>
      <c r="AD471" s="327"/>
      <c r="AE471" s="327"/>
      <c r="AF471" s="327"/>
      <c r="AG471" s="327"/>
      <c r="AH471" s="327"/>
      <c r="AI471" s="327"/>
      <c r="AJ471" s="327"/>
      <c r="AK471" s="336"/>
      <c r="AL471" s="42"/>
    </row>
    <row r="472" spans="2:38" x14ac:dyDescent="0.25">
      <c r="B472" s="327"/>
      <c r="C472" s="327"/>
      <c r="D472" s="327"/>
      <c r="E472" s="327"/>
      <c r="F472" s="327"/>
      <c r="G472" s="327"/>
      <c r="H472" s="312"/>
      <c r="I472" s="327"/>
      <c r="J472" s="327"/>
      <c r="K472" s="334"/>
      <c r="L472" s="322"/>
      <c r="M472" s="322"/>
      <c r="N472" s="327"/>
      <c r="O472" s="327"/>
      <c r="P472" s="331"/>
      <c r="Q472" s="327"/>
      <c r="R472" s="276"/>
      <c r="S472" s="322"/>
      <c r="T472" s="322"/>
      <c r="U472" s="327"/>
      <c r="V472" s="335"/>
      <c r="W472" s="327"/>
      <c r="X472" s="327"/>
      <c r="Y472" s="327"/>
      <c r="Z472" s="107"/>
      <c r="AA472" s="335"/>
      <c r="AB472" s="335"/>
      <c r="AC472" s="327"/>
      <c r="AD472" s="327"/>
      <c r="AE472" s="327"/>
      <c r="AF472" s="327"/>
      <c r="AG472" s="327"/>
      <c r="AH472" s="327"/>
      <c r="AI472" s="327"/>
      <c r="AJ472" s="327"/>
      <c r="AK472" s="336"/>
      <c r="AL472" s="42"/>
    </row>
    <row r="473" spans="2:38" x14ac:dyDescent="0.25">
      <c r="B473" s="327"/>
      <c r="C473" s="327"/>
      <c r="D473" s="327"/>
      <c r="E473" s="327"/>
      <c r="F473" s="327"/>
      <c r="G473" s="327"/>
      <c r="H473" s="312"/>
      <c r="I473" s="327"/>
      <c r="J473" s="327"/>
      <c r="K473" s="334"/>
      <c r="L473" s="322"/>
      <c r="M473" s="322"/>
      <c r="N473" s="327"/>
      <c r="O473" s="327"/>
      <c r="P473" s="331"/>
      <c r="Q473" s="327"/>
      <c r="R473" s="276"/>
      <c r="S473" s="322"/>
      <c r="T473" s="322"/>
      <c r="U473" s="327"/>
      <c r="V473" s="335"/>
      <c r="W473" s="327"/>
      <c r="X473" s="327"/>
      <c r="Y473" s="327"/>
      <c r="Z473" s="107"/>
      <c r="AA473" s="335"/>
      <c r="AB473" s="335"/>
      <c r="AC473" s="327"/>
      <c r="AD473" s="327"/>
      <c r="AE473" s="327"/>
      <c r="AF473" s="327"/>
      <c r="AG473" s="327"/>
      <c r="AH473" s="327"/>
      <c r="AI473" s="327"/>
      <c r="AJ473" s="327"/>
      <c r="AK473" s="336"/>
      <c r="AL473" s="42"/>
    </row>
    <row r="474" spans="2:38" x14ac:dyDescent="0.25">
      <c r="B474" s="327"/>
      <c r="C474" s="327"/>
      <c r="D474" s="327"/>
      <c r="E474" s="327"/>
      <c r="F474" s="327"/>
      <c r="G474" s="327"/>
      <c r="H474" s="312"/>
      <c r="I474" s="327"/>
      <c r="J474" s="327"/>
      <c r="K474" s="334"/>
      <c r="L474" s="322"/>
      <c r="M474" s="322"/>
      <c r="N474" s="327"/>
      <c r="O474" s="327"/>
      <c r="P474" s="331"/>
      <c r="Q474" s="327"/>
      <c r="R474" s="276"/>
      <c r="S474" s="322"/>
      <c r="T474" s="322"/>
      <c r="U474" s="327"/>
      <c r="V474" s="335"/>
      <c r="W474" s="327"/>
      <c r="X474" s="327"/>
      <c r="Y474" s="327"/>
      <c r="Z474" s="107"/>
      <c r="AA474" s="335"/>
      <c r="AB474" s="335"/>
      <c r="AC474" s="327"/>
      <c r="AD474" s="327"/>
      <c r="AE474" s="327"/>
      <c r="AF474" s="327"/>
      <c r="AG474" s="327"/>
      <c r="AH474" s="327"/>
      <c r="AI474" s="327"/>
      <c r="AJ474" s="327"/>
      <c r="AK474" s="336"/>
      <c r="AL474" s="42"/>
    </row>
    <row r="475" spans="2:38" x14ac:dyDescent="0.25">
      <c r="B475" s="327"/>
      <c r="C475" s="327"/>
      <c r="D475" s="327"/>
      <c r="E475" s="327"/>
      <c r="F475" s="327"/>
      <c r="G475" s="327"/>
      <c r="H475" s="312"/>
      <c r="I475" s="327"/>
      <c r="J475" s="327"/>
      <c r="K475" s="334"/>
      <c r="L475" s="322"/>
      <c r="M475" s="322"/>
      <c r="N475" s="327"/>
      <c r="O475" s="327"/>
      <c r="P475" s="331"/>
      <c r="Q475" s="327"/>
      <c r="R475" s="276"/>
      <c r="S475" s="322"/>
      <c r="T475" s="322"/>
      <c r="U475" s="327"/>
      <c r="V475" s="335"/>
      <c r="W475" s="327"/>
      <c r="X475" s="327"/>
      <c r="Y475" s="327"/>
      <c r="Z475" s="107"/>
      <c r="AA475" s="335"/>
      <c r="AB475" s="335"/>
      <c r="AC475" s="327"/>
      <c r="AD475" s="327"/>
      <c r="AE475" s="327"/>
      <c r="AF475" s="327"/>
      <c r="AG475" s="327"/>
      <c r="AH475" s="327"/>
      <c r="AI475" s="327"/>
      <c r="AJ475" s="327"/>
      <c r="AK475" s="336"/>
      <c r="AL475" s="42"/>
    </row>
    <row r="476" spans="2:38" x14ac:dyDescent="0.25">
      <c r="B476" s="327"/>
      <c r="C476" s="327"/>
      <c r="D476" s="327"/>
      <c r="E476" s="327"/>
      <c r="F476" s="327"/>
      <c r="G476" s="327"/>
      <c r="H476" s="312"/>
      <c r="I476" s="327"/>
      <c r="J476" s="327"/>
      <c r="K476" s="334"/>
      <c r="L476" s="322"/>
      <c r="M476" s="322"/>
      <c r="N476" s="327"/>
      <c r="O476" s="327"/>
      <c r="P476" s="331"/>
      <c r="Q476" s="327"/>
      <c r="R476" s="276"/>
      <c r="S476" s="322"/>
      <c r="T476" s="322"/>
      <c r="U476" s="327"/>
      <c r="V476" s="335"/>
      <c r="W476" s="327"/>
      <c r="X476" s="327"/>
      <c r="Y476" s="327"/>
      <c r="Z476" s="107"/>
      <c r="AA476" s="335"/>
      <c r="AB476" s="335"/>
      <c r="AC476" s="327"/>
      <c r="AD476" s="327"/>
      <c r="AE476" s="327"/>
      <c r="AF476" s="327"/>
      <c r="AG476" s="327"/>
      <c r="AH476" s="327"/>
      <c r="AI476" s="327"/>
      <c r="AJ476" s="327"/>
      <c r="AK476" s="336"/>
      <c r="AL476" s="42"/>
    </row>
    <row r="477" spans="2:38" x14ac:dyDescent="0.25">
      <c r="B477" s="327"/>
      <c r="C477" s="327"/>
      <c r="D477" s="327"/>
      <c r="E477" s="327"/>
      <c r="F477" s="327"/>
      <c r="G477" s="327"/>
      <c r="H477" s="312"/>
      <c r="I477" s="327"/>
      <c r="J477" s="327"/>
      <c r="K477" s="334"/>
      <c r="L477" s="322"/>
      <c r="M477" s="322"/>
      <c r="N477" s="327"/>
      <c r="O477" s="327"/>
      <c r="P477" s="331"/>
      <c r="Q477" s="327"/>
      <c r="R477" s="276"/>
      <c r="S477" s="322"/>
      <c r="T477" s="322"/>
      <c r="U477" s="327"/>
      <c r="V477" s="335"/>
      <c r="W477" s="327"/>
      <c r="X477" s="327"/>
      <c r="Y477" s="327"/>
      <c r="Z477" s="107"/>
      <c r="AA477" s="335"/>
      <c r="AB477" s="335"/>
      <c r="AC477" s="327"/>
      <c r="AD477" s="327"/>
      <c r="AE477" s="327"/>
      <c r="AF477" s="327"/>
      <c r="AG477" s="327"/>
      <c r="AH477" s="327"/>
      <c r="AI477" s="327"/>
      <c r="AJ477" s="327"/>
      <c r="AK477" s="336"/>
      <c r="AL477" s="42"/>
    </row>
    <row r="478" spans="2:38" x14ac:dyDescent="0.25">
      <c r="B478" s="327"/>
      <c r="C478" s="327"/>
      <c r="D478" s="327"/>
      <c r="E478" s="327"/>
      <c r="F478" s="327"/>
      <c r="G478" s="327"/>
      <c r="H478" s="312"/>
      <c r="I478" s="327"/>
      <c r="J478" s="327"/>
      <c r="K478" s="334"/>
      <c r="L478" s="322"/>
      <c r="M478" s="322"/>
      <c r="N478" s="327"/>
      <c r="O478" s="327"/>
      <c r="P478" s="331"/>
      <c r="Q478" s="327"/>
      <c r="R478" s="276"/>
      <c r="S478" s="322"/>
      <c r="T478" s="322"/>
      <c r="U478" s="327"/>
      <c r="V478" s="335"/>
      <c r="W478" s="327"/>
      <c r="X478" s="327"/>
      <c r="Y478" s="327"/>
      <c r="Z478" s="107"/>
      <c r="AA478" s="335"/>
      <c r="AB478" s="335"/>
      <c r="AC478" s="327"/>
      <c r="AD478" s="327"/>
      <c r="AE478" s="327"/>
      <c r="AF478" s="327"/>
      <c r="AG478" s="327"/>
      <c r="AH478" s="327"/>
      <c r="AI478" s="327"/>
      <c r="AJ478" s="327"/>
      <c r="AK478" s="336"/>
      <c r="AL478" s="42"/>
    </row>
    <row r="479" spans="2:38" x14ac:dyDescent="0.25">
      <c r="B479" s="327"/>
      <c r="C479" s="327"/>
      <c r="D479" s="327"/>
      <c r="E479" s="327"/>
      <c r="F479" s="327"/>
      <c r="G479" s="327"/>
      <c r="H479" s="312"/>
      <c r="I479" s="327"/>
      <c r="J479" s="327"/>
      <c r="K479" s="334"/>
      <c r="L479" s="322"/>
      <c r="M479" s="322"/>
      <c r="N479" s="327"/>
      <c r="O479" s="327"/>
      <c r="P479" s="331"/>
      <c r="Q479" s="327"/>
      <c r="R479" s="276"/>
      <c r="S479" s="322"/>
      <c r="T479" s="322"/>
      <c r="U479" s="327"/>
      <c r="V479" s="335"/>
      <c r="W479" s="327"/>
      <c r="X479" s="327"/>
      <c r="Y479" s="327"/>
      <c r="Z479" s="107"/>
      <c r="AA479" s="335"/>
      <c r="AB479" s="335"/>
      <c r="AC479" s="327"/>
      <c r="AD479" s="327"/>
      <c r="AE479" s="327"/>
      <c r="AF479" s="327"/>
      <c r="AG479" s="327"/>
      <c r="AH479" s="327"/>
      <c r="AI479" s="327"/>
      <c r="AJ479" s="327"/>
      <c r="AK479" s="336"/>
      <c r="AL479" s="42"/>
    </row>
    <row r="480" spans="2:38" x14ac:dyDescent="0.25">
      <c r="B480" s="327"/>
      <c r="C480" s="327"/>
      <c r="D480" s="327"/>
      <c r="E480" s="327"/>
      <c r="F480" s="327"/>
      <c r="G480" s="327"/>
      <c r="H480" s="312"/>
      <c r="I480" s="327"/>
      <c r="J480" s="327"/>
      <c r="K480" s="334"/>
      <c r="L480" s="322"/>
      <c r="M480" s="322"/>
      <c r="N480" s="327"/>
      <c r="O480" s="327"/>
      <c r="P480" s="331"/>
      <c r="Q480" s="327"/>
      <c r="R480" s="276"/>
      <c r="S480" s="322"/>
      <c r="T480" s="322"/>
      <c r="U480" s="327"/>
      <c r="V480" s="335"/>
      <c r="W480" s="327"/>
      <c r="X480" s="327"/>
      <c r="Y480" s="327"/>
      <c r="Z480" s="107"/>
      <c r="AA480" s="335"/>
      <c r="AB480" s="335"/>
      <c r="AC480" s="327"/>
      <c r="AD480" s="327"/>
      <c r="AE480" s="327"/>
      <c r="AF480" s="327"/>
      <c r="AG480" s="327"/>
      <c r="AH480" s="327"/>
      <c r="AI480" s="327"/>
      <c r="AJ480" s="327"/>
      <c r="AK480" s="336"/>
      <c r="AL480" s="42"/>
    </row>
    <row r="481" spans="2:38" x14ac:dyDescent="0.25">
      <c r="B481" s="327"/>
      <c r="C481" s="327"/>
      <c r="D481" s="327"/>
      <c r="E481" s="327"/>
      <c r="F481" s="327"/>
      <c r="G481" s="327"/>
      <c r="H481" s="312"/>
      <c r="I481" s="327"/>
      <c r="J481" s="327"/>
      <c r="K481" s="334"/>
      <c r="L481" s="322"/>
      <c r="M481" s="322"/>
      <c r="N481" s="327"/>
      <c r="O481" s="327"/>
      <c r="P481" s="331"/>
      <c r="Q481" s="327"/>
      <c r="R481" s="276"/>
      <c r="S481" s="322"/>
      <c r="T481" s="322"/>
      <c r="U481" s="327"/>
      <c r="V481" s="335"/>
      <c r="W481" s="327"/>
      <c r="X481" s="327"/>
      <c r="Y481" s="327"/>
      <c r="Z481" s="107"/>
      <c r="AA481" s="335"/>
      <c r="AB481" s="335"/>
      <c r="AC481" s="327"/>
      <c r="AD481" s="327"/>
      <c r="AE481" s="327"/>
      <c r="AF481" s="327"/>
      <c r="AG481" s="327"/>
      <c r="AH481" s="327"/>
      <c r="AI481" s="327"/>
      <c r="AJ481" s="327"/>
      <c r="AK481" s="336"/>
      <c r="AL481" s="42"/>
    </row>
    <row r="482" spans="2:38" x14ac:dyDescent="0.25">
      <c r="B482" s="327"/>
      <c r="C482" s="327"/>
      <c r="D482" s="327"/>
      <c r="E482" s="327"/>
      <c r="F482" s="327"/>
      <c r="G482" s="327"/>
      <c r="H482" s="312"/>
      <c r="I482" s="327"/>
      <c r="J482" s="327"/>
      <c r="K482" s="334"/>
      <c r="L482" s="322"/>
      <c r="M482" s="322"/>
      <c r="N482" s="327"/>
      <c r="O482" s="327"/>
      <c r="P482" s="331"/>
      <c r="Q482" s="327"/>
      <c r="R482" s="276"/>
      <c r="S482" s="322"/>
      <c r="T482" s="322"/>
      <c r="U482" s="327"/>
      <c r="V482" s="335"/>
      <c r="W482" s="327"/>
      <c r="X482" s="327"/>
      <c r="Y482" s="327"/>
      <c r="Z482" s="107"/>
      <c r="AA482" s="335"/>
      <c r="AB482" s="335"/>
      <c r="AC482" s="327"/>
      <c r="AD482" s="327"/>
      <c r="AE482" s="327"/>
      <c r="AF482" s="327"/>
      <c r="AG482" s="327"/>
      <c r="AH482" s="327"/>
      <c r="AI482" s="327"/>
      <c r="AJ482" s="327"/>
      <c r="AK482" s="336"/>
      <c r="AL482" s="42"/>
    </row>
    <row r="483" spans="2:38" x14ac:dyDescent="0.25">
      <c r="B483" s="327"/>
      <c r="C483" s="327"/>
      <c r="D483" s="327"/>
      <c r="E483" s="327"/>
      <c r="F483" s="327"/>
      <c r="G483" s="327"/>
      <c r="H483" s="312"/>
      <c r="I483" s="327"/>
      <c r="J483" s="327"/>
      <c r="K483" s="334"/>
      <c r="L483" s="322"/>
      <c r="M483" s="322"/>
      <c r="N483" s="327"/>
      <c r="O483" s="327"/>
      <c r="P483" s="331"/>
      <c r="Q483" s="327"/>
      <c r="R483" s="276"/>
      <c r="S483" s="322"/>
      <c r="T483" s="322"/>
      <c r="U483" s="327"/>
      <c r="V483" s="335"/>
      <c r="W483" s="327"/>
      <c r="X483" s="327"/>
      <c r="Y483" s="327"/>
      <c r="Z483" s="107"/>
      <c r="AA483" s="335"/>
      <c r="AB483" s="335"/>
      <c r="AC483" s="327"/>
      <c r="AD483" s="327"/>
      <c r="AE483" s="327"/>
      <c r="AF483" s="327"/>
      <c r="AG483" s="327"/>
      <c r="AH483" s="327"/>
      <c r="AI483" s="327"/>
      <c r="AJ483" s="327"/>
      <c r="AK483" s="336"/>
      <c r="AL483" s="42"/>
    </row>
    <row r="484" spans="2:38" x14ac:dyDescent="0.25">
      <c r="B484" s="327"/>
      <c r="C484" s="327"/>
      <c r="D484" s="327"/>
      <c r="E484" s="327"/>
      <c r="F484" s="327"/>
      <c r="G484" s="327"/>
      <c r="H484" s="312"/>
      <c r="I484" s="327"/>
      <c r="J484" s="327"/>
      <c r="K484" s="334"/>
      <c r="L484" s="322"/>
      <c r="M484" s="322"/>
      <c r="N484" s="327"/>
      <c r="O484" s="327"/>
      <c r="P484" s="331"/>
      <c r="Q484" s="327"/>
      <c r="R484" s="276"/>
      <c r="S484" s="322"/>
      <c r="T484" s="322"/>
      <c r="U484" s="327"/>
      <c r="V484" s="335"/>
      <c r="W484" s="327"/>
      <c r="X484" s="327"/>
      <c r="Y484" s="327"/>
      <c r="Z484" s="107"/>
      <c r="AA484" s="335"/>
      <c r="AB484" s="335"/>
      <c r="AC484" s="327"/>
      <c r="AD484" s="327"/>
      <c r="AE484" s="327"/>
      <c r="AF484" s="327"/>
      <c r="AG484" s="327"/>
      <c r="AH484" s="327"/>
      <c r="AI484" s="327"/>
      <c r="AJ484" s="327"/>
      <c r="AK484" s="336"/>
      <c r="AL484" s="42"/>
    </row>
    <row r="485" spans="2:38" x14ac:dyDescent="0.25">
      <c r="B485" s="327"/>
      <c r="C485" s="327"/>
      <c r="D485" s="327"/>
      <c r="E485" s="327"/>
      <c r="F485" s="327"/>
      <c r="G485" s="327"/>
      <c r="H485" s="312"/>
      <c r="I485" s="327"/>
      <c r="J485" s="327"/>
      <c r="K485" s="334"/>
      <c r="L485" s="322"/>
      <c r="M485" s="322"/>
      <c r="N485" s="327"/>
      <c r="O485" s="327"/>
      <c r="P485" s="331"/>
      <c r="Q485" s="327"/>
      <c r="R485" s="276"/>
      <c r="S485" s="322"/>
      <c r="T485" s="322"/>
      <c r="U485" s="327"/>
      <c r="V485" s="335"/>
      <c r="W485" s="327"/>
      <c r="X485" s="327"/>
      <c r="Y485" s="327"/>
      <c r="Z485" s="107"/>
      <c r="AA485" s="335"/>
      <c r="AB485" s="335"/>
      <c r="AC485" s="327"/>
      <c r="AD485" s="327"/>
      <c r="AE485" s="327"/>
      <c r="AF485" s="327"/>
      <c r="AG485" s="327"/>
      <c r="AH485" s="327"/>
      <c r="AI485" s="327"/>
      <c r="AJ485" s="327"/>
      <c r="AK485" s="336"/>
      <c r="AL485" s="42"/>
    </row>
    <row r="486" spans="2:38" x14ac:dyDescent="0.25">
      <c r="B486" s="327"/>
      <c r="C486" s="327"/>
      <c r="D486" s="327"/>
      <c r="E486" s="327"/>
      <c r="F486" s="327"/>
      <c r="G486" s="327"/>
      <c r="H486" s="312"/>
      <c r="I486" s="327"/>
      <c r="J486" s="327"/>
      <c r="K486" s="334"/>
      <c r="L486" s="322"/>
      <c r="M486" s="322"/>
      <c r="N486" s="327"/>
      <c r="O486" s="327"/>
      <c r="P486" s="331"/>
      <c r="Q486" s="327"/>
      <c r="R486" s="276"/>
      <c r="S486" s="322"/>
      <c r="T486" s="322"/>
      <c r="U486" s="327"/>
      <c r="V486" s="335"/>
      <c r="W486" s="327"/>
      <c r="X486" s="327"/>
      <c r="Y486" s="327"/>
      <c r="Z486" s="107"/>
      <c r="AA486" s="335"/>
      <c r="AB486" s="335"/>
      <c r="AC486" s="327"/>
      <c r="AD486" s="327"/>
      <c r="AE486" s="327"/>
      <c r="AF486" s="327"/>
      <c r="AG486" s="327"/>
      <c r="AH486" s="327"/>
      <c r="AI486" s="327"/>
      <c r="AJ486" s="327"/>
      <c r="AK486" s="336"/>
      <c r="AL486" s="42"/>
    </row>
    <row r="487" spans="2:38" x14ac:dyDescent="0.25">
      <c r="B487" s="327"/>
      <c r="C487" s="327"/>
      <c r="D487" s="327"/>
      <c r="E487" s="327"/>
      <c r="F487" s="327"/>
      <c r="G487" s="327"/>
      <c r="H487" s="312"/>
      <c r="I487" s="327"/>
      <c r="J487" s="327"/>
      <c r="K487" s="334"/>
      <c r="L487" s="322"/>
      <c r="M487" s="322"/>
      <c r="N487" s="327"/>
      <c r="O487" s="327"/>
      <c r="P487" s="331"/>
      <c r="Q487" s="327"/>
      <c r="R487" s="276"/>
      <c r="S487" s="322"/>
      <c r="T487" s="322"/>
      <c r="U487" s="327"/>
      <c r="V487" s="335"/>
      <c r="W487" s="327"/>
      <c r="X487" s="327"/>
      <c r="Y487" s="327"/>
      <c r="Z487" s="107"/>
      <c r="AA487" s="335"/>
      <c r="AB487" s="335"/>
      <c r="AC487" s="327"/>
      <c r="AD487" s="327"/>
      <c r="AE487" s="327"/>
      <c r="AF487" s="327"/>
      <c r="AG487" s="327"/>
      <c r="AH487" s="327"/>
      <c r="AI487" s="327"/>
      <c r="AJ487" s="327"/>
      <c r="AK487" s="336"/>
      <c r="AL487" s="42"/>
    </row>
    <row r="488" spans="2:38" x14ac:dyDescent="0.25">
      <c r="B488" s="327"/>
      <c r="C488" s="327"/>
      <c r="D488" s="327"/>
      <c r="E488" s="327"/>
      <c r="F488" s="327"/>
      <c r="G488" s="327"/>
      <c r="H488" s="312"/>
      <c r="I488" s="327"/>
      <c r="J488" s="327"/>
      <c r="K488" s="334"/>
      <c r="L488" s="322"/>
      <c r="M488" s="322"/>
      <c r="N488" s="327"/>
      <c r="O488" s="327"/>
      <c r="P488" s="331"/>
      <c r="Q488" s="327"/>
      <c r="R488" s="276"/>
      <c r="S488" s="322"/>
      <c r="T488" s="322"/>
      <c r="U488" s="327"/>
      <c r="V488" s="335"/>
      <c r="W488" s="327"/>
      <c r="X488" s="327"/>
      <c r="Y488" s="327"/>
      <c r="Z488" s="107"/>
      <c r="AA488" s="335"/>
      <c r="AB488" s="335"/>
      <c r="AC488" s="327"/>
      <c r="AD488" s="327"/>
      <c r="AE488" s="327"/>
      <c r="AF488" s="327"/>
      <c r="AG488" s="327"/>
      <c r="AH488" s="327"/>
      <c r="AI488" s="327"/>
      <c r="AJ488" s="327"/>
      <c r="AK488" s="336"/>
      <c r="AL488" s="42"/>
    </row>
    <row r="489" spans="2:38" x14ac:dyDescent="0.25">
      <c r="B489" s="327"/>
      <c r="C489" s="327"/>
      <c r="D489" s="327"/>
      <c r="E489" s="327"/>
      <c r="F489" s="327"/>
      <c r="G489" s="327"/>
      <c r="H489" s="312"/>
      <c r="I489" s="327"/>
      <c r="J489" s="327"/>
      <c r="K489" s="334"/>
      <c r="L489" s="322"/>
      <c r="M489" s="322"/>
      <c r="N489" s="327"/>
      <c r="O489" s="327"/>
      <c r="P489" s="331"/>
      <c r="Q489" s="327"/>
      <c r="R489" s="276"/>
      <c r="S489" s="322"/>
      <c r="T489" s="322"/>
      <c r="U489" s="327"/>
      <c r="V489" s="335"/>
      <c r="W489" s="327"/>
      <c r="X489" s="327"/>
      <c r="Y489" s="327"/>
      <c r="Z489" s="107"/>
      <c r="AA489" s="335"/>
      <c r="AB489" s="335"/>
      <c r="AC489" s="327"/>
      <c r="AD489" s="327"/>
      <c r="AE489" s="327"/>
      <c r="AF489" s="327"/>
      <c r="AG489" s="327"/>
      <c r="AH489" s="327"/>
      <c r="AI489" s="327"/>
      <c r="AJ489" s="327"/>
      <c r="AK489" s="336"/>
      <c r="AL489" s="42"/>
    </row>
    <row r="490" spans="2:38" x14ac:dyDescent="0.25">
      <c r="B490" s="327"/>
      <c r="C490" s="327"/>
      <c r="D490" s="327"/>
      <c r="E490" s="327"/>
      <c r="F490" s="327"/>
      <c r="G490" s="327"/>
      <c r="H490" s="312"/>
      <c r="I490" s="327"/>
      <c r="J490" s="327"/>
      <c r="K490" s="334"/>
      <c r="L490" s="322"/>
      <c r="M490" s="322"/>
      <c r="N490" s="327"/>
      <c r="O490" s="327"/>
      <c r="P490" s="331"/>
      <c r="Q490" s="327"/>
      <c r="R490" s="276"/>
      <c r="S490" s="322"/>
      <c r="T490" s="322"/>
      <c r="U490" s="327"/>
      <c r="V490" s="335"/>
      <c r="W490" s="327"/>
      <c r="X490" s="327"/>
      <c r="Y490" s="327"/>
      <c r="Z490" s="107"/>
      <c r="AA490" s="335"/>
      <c r="AB490" s="335"/>
      <c r="AC490" s="327"/>
      <c r="AD490" s="327"/>
      <c r="AE490" s="327"/>
      <c r="AF490" s="327"/>
      <c r="AG490" s="327"/>
      <c r="AH490" s="327"/>
      <c r="AI490" s="327"/>
      <c r="AJ490" s="327"/>
      <c r="AK490" s="336"/>
      <c r="AL490" s="42"/>
    </row>
    <row r="491" spans="2:38" x14ac:dyDescent="0.25">
      <c r="B491" s="327"/>
      <c r="C491" s="327"/>
      <c r="D491" s="327"/>
      <c r="E491" s="327"/>
      <c r="F491" s="327"/>
      <c r="G491" s="327"/>
      <c r="H491" s="312"/>
      <c r="I491" s="327"/>
      <c r="J491" s="327"/>
      <c r="K491" s="334"/>
      <c r="L491" s="322"/>
      <c r="M491" s="322"/>
      <c r="N491" s="327"/>
      <c r="O491" s="327"/>
      <c r="P491" s="331"/>
      <c r="Q491" s="327"/>
      <c r="R491" s="276"/>
      <c r="S491" s="322"/>
      <c r="T491" s="322"/>
      <c r="U491" s="327"/>
      <c r="V491" s="335"/>
      <c r="W491" s="327"/>
      <c r="X491" s="327"/>
      <c r="Y491" s="327"/>
      <c r="Z491" s="107"/>
      <c r="AA491" s="335"/>
      <c r="AB491" s="335"/>
      <c r="AC491" s="327"/>
      <c r="AD491" s="327"/>
      <c r="AE491" s="327"/>
      <c r="AF491" s="327"/>
      <c r="AG491" s="327"/>
      <c r="AH491" s="327"/>
      <c r="AI491" s="327"/>
      <c r="AJ491" s="327"/>
      <c r="AK491" s="336"/>
      <c r="AL491" s="42"/>
    </row>
    <row r="492" spans="2:38" x14ac:dyDescent="0.25">
      <c r="B492" s="327"/>
      <c r="C492" s="327"/>
      <c r="D492" s="327"/>
      <c r="E492" s="327"/>
      <c r="F492" s="327"/>
      <c r="G492" s="327"/>
      <c r="H492" s="312"/>
      <c r="I492" s="327"/>
      <c r="J492" s="327"/>
      <c r="K492" s="334"/>
      <c r="L492" s="322"/>
      <c r="M492" s="322"/>
      <c r="N492" s="327"/>
      <c r="O492" s="327"/>
      <c r="P492" s="331"/>
      <c r="Q492" s="327"/>
      <c r="R492" s="276"/>
      <c r="S492" s="322"/>
      <c r="T492" s="322"/>
      <c r="U492" s="327"/>
      <c r="V492" s="335"/>
      <c r="W492" s="327"/>
      <c r="X492" s="327"/>
      <c r="Y492" s="327"/>
      <c r="Z492" s="107"/>
      <c r="AA492" s="335"/>
      <c r="AB492" s="335"/>
      <c r="AC492" s="327"/>
      <c r="AD492" s="327"/>
      <c r="AE492" s="327"/>
      <c r="AF492" s="327"/>
      <c r="AG492" s="327"/>
      <c r="AH492" s="327"/>
      <c r="AI492" s="327"/>
      <c r="AJ492" s="327"/>
      <c r="AK492" s="336"/>
      <c r="AL492" s="42"/>
    </row>
    <row r="493" spans="2:38" x14ac:dyDescent="0.25">
      <c r="B493" s="327"/>
      <c r="C493" s="327"/>
      <c r="D493" s="327"/>
      <c r="E493" s="327"/>
      <c r="F493" s="327"/>
      <c r="G493" s="327"/>
      <c r="H493" s="312"/>
      <c r="I493" s="327"/>
      <c r="J493" s="327"/>
      <c r="K493" s="334"/>
      <c r="L493" s="322"/>
      <c r="M493" s="322"/>
      <c r="N493" s="327"/>
      <c r="O493" s="327"/>
      <c r="P493" s="331"/>
      <c r="Q493" s="327"/>
      <c r="R493" s="276"/>
      <c r="S493" s="322"/>
      <c r="T493" s="322"/>
      <c r="U493" s="327"/>
      <c r="V493" s="335"/>
      <c r="W493" s="327"/>
      <c r="X493" s="327"/>
      <c r="Y493" s="327"/>
      <c r="Z493" s="107"/>
      <c r="AA493" s="335"/>
      <c r="AB493" s="335"/>
      <c r="AC493" s="327"/>
      <c r="AD493" s="327"/>
      <c r="AE493" s="327"/>
      <c r="AF493" s="327"/>
      <c r="AG493" s="327"/>
      <c r="AH493" s="327"/>
      <c r="AI493" s="327"/>
      <c r="AJ493" s="327"/>
      <c r="AK493" s="336"/>
      <c r="AL493" s="42"/>
    </row>
    <row r="494" spans="2:38" x14ac:dyDescent="0.25">
      <c r="B494" s="327"/>
      <c r="C494" s="327"/>
      <c r="D494" s="327"/>
      <c r="E494" s="327"/>
      <c r="F494" s="327"/>
      <c r="G494" s="327"/>
      <c r="H494" s="312"/>
      <c r="I494" s="327"/>
      <c r="J494" s="327"/>
      <c r="K494" s="334"/>
      <c r="L494" s="322"/>
      <c r="M494" s="322"/>
      <c r="N494" s="327"/>
      <c r="O494" s="327"/>
      <c r="P494" s="331"/>
      <c r="Q494" s="327"/>
      <c r="R494" s="276"/>
      <c r="S494" s="322"/>
      <c r="T494" s="322"/>
      <c r="U494" s="327"/>
      <c r="V494" s="335"/>
      <c r="W494" s="327"/>
      <c r="X494" s="327"/>
      <c r="Y494" s="327"/>
      <c r="Z494" s="107"/>
      <c r="AA494" s="335"/>
      <c r="AB494" s="335"/>
      <c r="AC494" s="327"/>
      <c r="AD494" s="327"/>
      <c r="AE494" s="327"/>
      <c r="AF494" s="327"/>
      <c r="AG494" s="327"/>
      <c r="AH494" s="327"/>
      <c r="AI494" s="327"/>
      <c r="AJ494" s="327"/>
      <c r="AK494" s="336"/>
      <c r="AL494" s="42"/>
    </row>
    <row r="495" spans="2:38" x14ac:dyDescent="0.25">
      <c r="B495" s="327"/>
      <c r="C495" s="327"/>
      <c r="D495" s="327"/>
      <c r="E495" s="327"/>
      <c r="F495" s="327"/>
      <c r="G495" s="327"/>
      <c r="H495" s="312"/>
      <c r="I495" s="327"/>
      <c r="J495" s="327"/>
      <c r="K495" s="334"/>
      <c r="L495" s="322"/>
      <c r="M495" s="322"/>
      <c r="N495" s="327"/>
      <c r="O495" s="327"/>
      <c r="P495" s="331"/>
      <c r="Q495" s="327"/>
      <c r="R495" s="276"/>
      <c r="S495" s="322"/>
      <c r="T495" s="322"/>
      <c r="U495" s="327"/>
      <c r="V495" s="335"/>
      <c r="W495" s="327"/>
      <c r="X495" s="327"/>
      <c r="Y495" s="327"/>
      <c r="Z495" s="107"/>
      <c r="AA495" s="335"/>
      <c r="AB495" s="335"/>
      <c r="AC495" s="327"/>
      <c r="AD495" s="327"/>
      <c r="AE495" s="327"/>
      <c r="AF495" s="327"/>
      <c r="AG495" s="327"/>
      <c r="AH495" s="327"/>
      <c r="AI495" s="327"/>
      <c r="AJ495" s="327"/>
      <c r="AK495" s="336"/>
      <c r="AL495" s="42"/>
    </row>
    <row r="496" spans="2:38" x14ac:dyDescent="0.25">
      <c r="B496" s="327"/>
      <c r="C496" s="327"/>
      <c r="D496" s="327"/>
      <c r="E496" s="327"/>
      <c r="F496" s="327"/>
      <c r="G496" s="327"/>
      <c r="H496" s="312"/>
      <c r="I496" s="327"/>
      <c r="J496" s="327"/>
      <c r="K496" s="334"/>
      <c r="L496" s="322"/>
      <c r="M496" s="322"/>
      <c r="N496" s="327"/>
      <c r="O496" s="327"/>
      <c r="P496" s="331"/>
      <c r="Q496" s="327"/>
      <c r="R496" s="276"/>
      <c r="S496" s="322"/>
      <c r="T496" s="322"/>
      <c r="U496" s="327"/>
      <c r="V496" s="335"/>
      <c r="W496" s="327"/>
      <c r="X496" s="327"/>
      <c r="Y496" s="327"/>
      <c r="Z496" s="107"/>
      <c r="AA496" s="335"/>
      <c r="AB496" s="335"/>
      <c r="AC496" s="327"/>
      <c r="AD496" s="327"/>
      <c r="AE496" s="327"/>
      <c r="AF496" s="327"/>
      <c r="AG496" s="327"/>
      <c r="AH496" s="327"/>
      <c r="AI496" s="327"/>
      <c r="AJ496" s="327"/>
      <c r="AK496" s="336"/>
      <c r="AL496" s="42"/>
    </row>
    <row r="497" spans="2:38" x14ac:dyDescent="0.25">
      <c r="B497" s="327"/>
      <c r="C497" s="327"/>
      <c r="D497" s="327"/>
      <c r="E497" s="327"/>
      <c r="F497" s="327"/>
      <c r="G497" s="327"/>
      <c r="H497" s="312"/>
      <c r="I497" s="327"/>
      <c r="J497" s="327"/>
      <c r="K497" s="334"/>
      <c r="L497" s="322"/>
      <c r="M497" s="322"/>
      <c r="N497" s="327"/>
      <c r="O497" s="327"/>
      <c r="P497" s="331"/>
      <c r="Q497" s="327"/>
      <c r="R497" s="276"/>
      <c r="S497" s="322"/>
      <c r="T497" s="322"/>
      <c r="U497" s="327"/>
      <c r="V497" s="335"/>
      <c r="W497" s="327"/>
      <c r="X497" s="327"/>
      <c r="Y497" s="327"/>
      <c r="Z497" s="107"/>
      <c r="AA497" s="335"/>
      <c r="AB497" s="335"/>
      <c r="AC497" s="327"/>
      <c r="AD497" s="327"/>
      <c r="AE497" s="327"/>
      <c r="AF497" s="327"/>
      <c r="AG497" s="327"/>
      <c r="AH497" s="327"/>
      <c r="AI497" s="327"/>
      <c r="AJ497" s="327"/>
      <c r="AK497" s="336"/>
      <c r="AL497" s="42"/>
    </row>
    <row r="498" spans="2:38" x14ac:dyDescent="0.25">
      <c r="B498" s="327"/>
      <c r="C498" s="327"/>
      <c r="D498" s="327"/>
      <c r="E498" s="327"/>
      <c r="F498" s="327"/>
      <c r="G498" s="327"/>
      <c r="H498" s="312"/>
      <c r="I498" s="327"/>
      <c r="J498" s="327"/>
      <c r="K498" s="334"/>
      <c r="L498" s="322"/>
      <c r="M498" s="322"/>
      <c r="N498" s="327"/>
      <c r="O498" s="327"/>
      <c r="P498" s="331"/>
      <c r="Q498" s="327"/>
      <c r="R498" s="276"/>
      <c r="S498" s="322"/>
      <c r="T498" s="322"/>
      <c r="U498" s="327"/>
      <c r="V498" s="335"/>
      <c r="W498" s="327"/>
      <c r="X498" s="327"/>
      <c r="Y498" s="327"/>
      <c r="Z498" s="107"/>
      <c r="AA498" s="335"/>
      <c r="AB498" s="335"/>
      <c r="AC498" s="327"/>
      <c r="AD498" s="327"/>
      <c r="AE498" s="327"/>
      <c r="AF498" s="327"/>
      <c r="AG498" s="327"/>
      <c r="AH498" s="327"/>
      <c r="AI498" s="327"/>
      <c r="AJ498" s="327"/>
      <c r="AK498" s="336"/>
      <c r="AL498" s="42"/>
    </row>
    <row r="499" spans="2:38" x14ac:dyDescent="0.25">
      <c r="B499" s="327"/>
      <c r="C499" s="327"/>
      <c r="D499" s="327"/>
      <c r="E499" s="327"/>
      <c r="F499" s="327"/>
      <c r="G499" s="327"/>
      <c r="H499" s="312"/>
      <c r="I499" s="327"/>
      <c r="J499" s="327"/>
      <c r="K499" s="334"/>
      <c r="L499" s="322"/>
      <c r="M499" s="322"/>
      <c r="N499" s="327"/>
      <c r="O499" s="327"/>
      <c r="P499" s="331"/>
      <c r="Q499" s="327"/>
      <c r="R499" s="276"/>
      <c r="S499" s="322"/>
      <c r="T499" s="322"/>
      <c r="U499" s="327"/>
      <c r="V499" s="335"/>
      <c r="W499" s="327"/>
      <c r="X499" s="327"/>
      <c r="Y499" s="327"/>
      <c r="Z499" s="107"/>
      <c r="AA499" s="335"/>
      <c r="AB499" s="335"/>
      <c r="AC499" s="327"/>
      <c r="AD499" s="327"/>
      <c r="AE499" s="327"/>
      <c r="AF499" s="327"/>
      <c r="AG499" s="327"/>
      <c r="AH499" s="327"/>
      <c r="AI499" s="327"/>
      <c r="AJ499" s="327"/>
      <c r="AK499" s="336"/>
      <c r="AL499" s="42"/>
    </row>
    <row r="500" spans="2:38" x14ac:dyDescent="0.25">
      <c r="B500" s="327"/>
      <c r="C500" s="327"/>
      <c r="D500" s="327"/>
      <c r="E500" s="327"/>
      <c r="F500" s="327"/>
      <c r="G500" s="327"/>
      <c r="H500" s="312"/>
      <c r="I500" s="327"/>
      <c r="J500" s="327"/>
      <c r="K500" s="334"/>
      <c r="L500" s="322"/>
      <c r="M500" s="322"/>
      <c r="N500" s="327"/>
      <c r="O500" s="327"/>
      <c r="P500" s="331"/>
      <c r="Q500" s="327"/>
      <c r="R500" s="276"/>
      <c r="S500" s="322"/>
      <c r="T500" s="322"/>
      <c r="U500" s="327"/>
      <c r="V500" s="335"/>
      <c r="W500" s="327"/>
      <c r="X500" s="327"/>
      <c r="Y500" s="327"/>
      <c r="Z500" s="107"/>
      <c r="AA500" s="335"/>
      <c r="AB500" s="335"/>
      <c r="AC500" s="327"/>
      <c r="AD500" s="327"/>
      <c r="AE500" s="327"/>
      <c r="AF500" s="327"/>
      <c r="AG500" s="327"/>
      <c r="AH500" s="327"/>
      <c r="AI500" s="327"/>
      <c r="AJ500" s="327"/>
      <c r="AK500" s="336"/>
      <c r="AL500" s="42"/>
    </row>
    <row r="501" spans="2:38" x14ac:dyDescent="0.25">
      <c r="B501" s="327"/>
      <c r="C501" s="327"/>
      <c r="D501" s="327"/>
      <c r="E501" s="327"/>
      <c r="F501" s="327"/>
      <c r="G501" s="327"/>
      <c r="H501" s="312"/>
      <c r="I501" s="327"/>
      <c r="J501" s="327"/>
      <c r="K501" s="334"/>
      <c r="L501" s="322"/>
      <c r="M501" s="322"/>
      <c r="N501" s="327"/>
      <c r="O501" s="327"/>
      <c r="P501" s="331"/>
      <c r="Q501" s="327"/>
      <c r="R501" s="276"/>
      <c r="S501" s="322"/>
      <c r="T501" s="322"/>
      <c r="U501" s="327"/>
      <c r="V501" s="335"/>
      <c r="W501" s="327"/>
      <c r="X501" s="327"/>
      <c r="Y501" s="327"/>
      <c r="Z501" s="107"/>
      <c r="AA501" s="335"/>
      <c r="AB501" s="335"/>
      <c r="AC501" s="327"/>
      <c r="AD501" s="327"/>
      <c r="AE501" s="327"/>
      <c r="AF501" s="327"/>
      <c r="AG501" s="327"/>
      <c r="AH501" s="327"/>
      <c r="AI501" s="327"/>
      <c r="AJ501" s="327"/>
      <c r="AK501" s="336"/>
      <c r="AL501" s="42"/>
    </row>
    <row r="502" spans="2:38" x14ac:dyDescent="0.25">
      <c r="B502" s="327"/>
      <c r="C502" s="327"/>
      <c r="D502" s="327"/>
      <c r="E502" s="327"/>
      <c r="F502" s="327"/>
      <c r="G502" s="327"/>
      <c r="H502" s="312"/>
      <c r="I502" s="327"/>
      <c r="J502" s="327"/>
      <c r="K502" s="334"/>
      <c r="L502" s="322"/>
      <c r="M502" s="322"/>
      <c r="N502" s="327"/>
      <c r="O502" s="327"/>
      <c r="P502" s="331"/>
      <c r="Q502" s="327"/>
      <c r="R502" s="276"/>
      <c r="S502" s="322"/>
      <c r="T502" s="322"/>
      <c r="U502" s="327"/>
      <c r="V502" s="335"/>
      <c r="W502" s="327"/>
      <c r="X502" s="327"/>
      <c r="Y502" s="327"/>
      <c r="Z502" s="107"/>
      <c r="AA502" s="335"/>
      <c r="AB502" s="335"/>
      <c r="AC502" s="327"/>
      <c r="AD502" s="327"/>
      <c r="AE502" s="327"/>
      <c r="AF502" s="327"/>
      <c r="AG502" s="327"/>
      <c r="AH502" s="327"/>
      <c r="AI502" s="327"/>
      <c r="AJ502" s="327"/>
      <c r="AK502" s="336"/>
      <c r="AL502" s="42"/>
    </row>
    <row r="503" spans="2:38" x14ac:dyDescent="0.25">
      <c r="B503" s="327"/>
      <c r="C503" s="327"/>
      <c r="D503" s="327"/>
      <c r="E503" s="327"/>
      <c r="F503" s="327"/>
      <c r="G503" s="327"/>
      <c r="H503" s="312"/>
      <c r="I503" s="327"/>
      <c r="J503" s="327"/>
      <c r="K503" s="334"/>
      <c r="L503" s="322"/>
      <c r="M503" s="322"/>
      <c r="N503" s="327"/>
      <c r="O503" s="327"/>
      <c r="P503" s="331"/>
      <c r="Q503" s="327"/>
      <c r="R503" s="276"/>
      <c r="S503" s="322"/>
      <c r="T503" s="322"/>
      <c r="U503" s="327"/>
      <c r="V503" s="335"/>
      <c r="W503" s="327"/>
      <c r="X503" s="327"/>
      <c r="Y503" s="327"/>
      <c r="Z503" s="107"/>
      <c r="AA503" s="335"/>
      <c r="AB503" s="335"/>
      <c r="AC503" s="327"/>
      <c r="AD503" s="327"/>
      <c r="AE503" s="327"/>
      <c r="AF503" s="327"/>
      <c r="AG503" s="327"/>
      <c r="AH503" s="327"/>
      <c r="AI503" s="327"/>
      <c r="AJ503" s="327"/>
      <c r="AK503" s="336"/>
      <c r="AL503" s="42"/>
    </row>
    <row r="504" spans="2:38" x14ac:dyDescent="0.25">
      <c r="B504" s="327"/>
      <c r="C504" s="327"/>
      <c r="D504" s="327"/>
      <c r="E504" s="327"/>
      <c r="F504" s="327"/>
      <c r="G504" s="327"/>
      <c r="H504" s="312"/>
      <c r="I504" s="327"/>
      <c r="J504" s="327"/>
      <c r="K504" s="334"/>
      <c r="L504" s="322"/>
      <c r="M504" s="322"/>
      <c r="N504" s="327"/>
      <c r="O504" s="327"/>
      <c r="P504" s="331"/>
      <c r="Q504" s="327"/>
      <c r="R504" s="276"/>
      <c r="S504" s="322"/>
      <c r="T504" s="322"/>
      <c r="U504" s="327"/>
      <c r="V504" s="335"/>
      <c r="W504" s="327"/>
      <c r="X504" s="327"/>
      <c r="Y504" s="327"/>
      <c r="Z504" s="107"/>
      <c r="AA504" s="335"/>
      <c r="AB504" s="335"/>
      <c r="AC504" s="327"/>
      <c r="AD504" s="327"/>
      <c r="AE504" s="327"/>
      <c r="AF504" s="327"/>
      <c r="AG504" s="327"/>
      <c r="AH504" s="327"/>
      <c r="AI504" s="327"/>
      <c r="AJ504" s="327"/>
      <c r="AK504" s="336"/>
      <c r="AL504" s="42"/>
    </row>
    <row r="505" spans="2:38" x14ac:dyDescent="0.25">
      <c r="B505" s="327"/>
      <c r="C505" s="327"/>
      <c r="D505" s="327"/>
      <c r="E505" s="327"/>
      <c r="F505" s="327"/>
      <c r="G505" s="327"/>
      <c r="H505" s="312"/>
      <c r="I505" s="327"/>
      <c r="J505" s="327"/>
      <c r="K505" s="334"/>
      <c r="L505" s="322"/>
      <c r="M505" s="322"/>
      <c r="N505" s="327"/>
      <c r="O505" s="327"/>
      <c r="P505" s="331"/>
      <c r="Q505" s="327"/>
      <c r="R505" s="276"/>
      <c r="S505" s="322"/>
      <c r="T505" s="322"/>
      <c r="U505" s="327"/>
      <c r="V505" s="335"/>
      <c r="W505" s="327"/>
      <c r="X505" s="327"/>
      <c r="Y505" s="327"/>
      <c r="Z505" s="107"/>
      <c r="AA505" s="335"/>
      <c r="AB505" s="335"/>
      <c r="AC505" s="327"/>
      <c r="AD505" s="327"/>
      <c r="AE505" s="327"/>
      <c r="AF505" s="327"/>
      <c r="AG505" s="327"/>
      <c r="AH505" s="327"/>
      <c r="AI505" s="327"/>
      <c r="AJ505" s="327"/>
      <c r="AK505" s="336"/>
      <c r="AL505" s="42"/>
    </row>
    <row r="506" spans="2:38" x14ac:dyDescent="0.25">
      <c r="B506" s="327"/>
      <c r="C506" s="327"/>
      <c r="D506" s="327"/>
      <c r="E506" s="327"/>
      <c r="F506" s="327"/>
      <c r="G506" s="327"/>
      <c r="H506" s="312"/>
      <c r="I506" s="327"/>
      <c r="J506" s="327"/>
      <c r="K506" s="334"/>
      <c r="L506" s="322"/>
      <c r="M506" s="322"/>
      <c r="N506" s="327"/>
      <c r="O506" s="327"/>
      <c r="P506" s="331"/>
      <c r="Q506" s="327"/>
      <c r="R506" s="276"/>
      <c r="S506" s="322"/>
      <c r="T506" s="322"/>
      <c r="U506" s="327"/>
      <c r="V506" s="335"/>
      <c r="W506" s="327"/>
      <c r="X506" s="327"/>
      <c r="Y506" s="327"/>
      <c r="Z506" s="107"/>
      <c r="AA506" s="335"/>
      <c r="AB506" s="335"/>
      <c r="AC506" s="327"/>
      <c r="AD506" s="327"/>
      <c r="AE506" s="327"/>
      <c r="AF506" s="327"/>
      <c r="AG506" s="327"/>
      <c r="AH506" s="327"/>
      <c r="AI506" s="327"/>
      <c r="AJ506" s="327"/>
      <c r="AK506" s="336"/>
      <c r="AL506" s="42"/>
    </row>
    <row r="507" spans="2:38" x14ac:dyDescent="0.25">
      <c r="B507" s="327"/>
      <c r="C507" s="327"/>
      <c r="D507" s="327"/>
      <c r="E507" s="327"/>
      <c r="F507" s="327"/>
      <c r="G507" s="327"/>
      <c r="H507" s="312"/>
      <c r="I507" s="327"/>
      <c r="J507" s="327"/>
      <c r="K507" s="334"/>
      <c r="L507" s="322"/>
      <c r="M507" s="322"/>
      <c r="N507" s="327"/>
      <c r="O507" s="327"/>
      <c r="P507" s="331"/>
      <c r="Q507" s="327"/>
      <c r="R507" s="276"/>
      <c r="S507" s="322"/>
      <c r="T507" s="322"/>
      <c r="U507" s="327"/>
      <c r="V507" s="335"/>
      <c r="W507" s="327"/>
      <c r="X507" s="327"/>
      <c r="Y507" s="327"/>
      <c r="Z507" s="107"/>
      <c r="AA507" s="335"/>
      <c r="AB507" s="335"/>
      <c r="AC507" s="327"/>
      <c r="AD507" s="327"/>
      <c r="AE507" s="327"/>
      <c r="AF507" s="327"/>
      <c r="AG507" s="327"/>
      <c r="AH507" s="327"/>
      <c r="AI507" s="327"/>
      <c r="AJ507" s="327"/>
      <c r="AK507" s="336"/>
      <c r="AL507" s="42"/>
    </row>
    <row r="508" spans="2:38" x14ac:dyDescent="0.25">
      <c r="B508" s="327"/>
      <c r="C508" s="327"/>
      <c r="D508" s="327"/>
      <c r="E508" s="327"/>
      <c r="F508" s="327"/>
      <c r="G508" s="327"/>
      <c r="H508" s="312"/>
      <c r="I508" s="327"/>
      <c r="J508" s="327"/>
      <c r="K508" s="334"/>
      <c r="L508" s="322"/>
      <c r="M508" s="322"/>
      <c r="N508" s="327"/>
      <c r="O508" s="327"/>
      <c r="P508" s="331"/>
      <c r="Q508" s="327"/>
      <c r="R508" s="276"/>
      <c r="S508" s="322"/>
      <c r="T508" s="322"/>
      <c r="U508" s="327"/>
      <c r="V508" s="335"/>
      <c r="W508" s="327"/>
      <c r="X508" s="327"/>
      <c r="Y508" s="327"/>
      <c r="Z508" s="107"/>
      <c r="AA508" s="335"/>
      <c r="AB508" s="335"/>
      <c r="AC508" s="327"/>
      <c r="AD508" s="327"/>
      <c r="AE508" s="327"/>
      <c r="AF508" s="327"/>
      <c r="AG508" s="327"/>
      <c r="AH508" s="327"/>
      <c r="AI508" s="327"/>
      <c r="AJ508" s="327"/>
      <c r="AK508" s="336"/>
      <c r="AL508" s="42"/>
    </row>
    <row r="509" spans="2:38" x14ac:dyDescent="0.25">
      <c r="B509" s="327"/>
      <c r="C509" s="327"/>
      <c r="D509" s="327"/>
      <c r="E509" s="327"/>
      <c r="F509" s="327"/>
      <c r="G509" s="327"/>
      <c r="H509" s="312"/>
      <c r="I509" s="327"/>
      <c r="J509" s="327"/>
      <c r="K509" s="334"/>
      <c r="L509" s="322"/>
      <c r="M509" s="322"/>
      <c r="N509" s="327"/>
      <c r="O509" s="327"/>
      <c r="P509" s="331"/>
      <c r="Q509" s="327"/>
      <c r="R509" s="276"/>
      <c r="S509" s="322"/>
      <c r="T509" s="322"/>
      <c r="U509" s="327"/>
      <c r="V509" s="335"/>
      <c r="W509" s="327"/>
      <c r="X509" s="327"/>
      <c r="Y509" s="327"/>
      <c r="Z509" s="107"/>
      <c r="AA509" s="335"/>
      <c r="AB509" s="335"/>
      <c r="AC509" s="327"/>
      <c r="AD509" s="327"/>
      <c r="AE509" s="327"/>
      <c r="AF509" s="327"/>
      <c r="AG509" s="327"/>
      <c r="AH509" s="327"/>
      <c r="AI509" s="327"/>
      <c r="AJ509" s="327"/>
      <c r="AK509" s="336"/>
      <c r="AL509" s="42"/>
    </row>
    <row r="510" spans="2:38" x14ac:dyDescent="0.25">
      <c r="B510" s="327"/>
      <c r="C510" s="327"/>
      <c r="D510" s="327"/>
      <c r="E510" s="327"/>
      <c r="F510" s="327"/>
      <c r="G510" s="327"/>
      <c r="H510" s="312"/>
      <c r="I510" s="327"/>
      <c r="J510" s="327"/>
      <c r="K510" s="334"/>
      <c r="L510" s="322"/>
      <c r="M510" s="322"/>
      <c r="N510" s="327"/>
      <c r="O510" s="327"/>
      <c r="P510" s="331"/>
      <c r="Q510" s="327"/>
      <c r="R510" s="276"/>
      <c r="S510" s="322"/>
      <c r="T510" s="322"/>
      <c r="U510" s="327"/>
      <c r="V510" s="335"/>
      <c r="W510" s="327"/>
      <c r="X510" s="327"/>
      <c r="Y510" s="327"/>
      <c r="Z510" s="107"/>
      <c r="AA510" s="335"/>
      <c r="AB510" s="335"/>
      <c r="AC510" s="327"/>
      <c r="AD510" s="327"/>
      <c r="AE510" s="327"/>
      <c r="AF510" s="327"/>
      <c r="AG510" s="327"/>
      <c r="AH510" s="327"/>
      <c r="AI510" s="327"/>
      <c r="AJ510" s="327"/>
      <c r="AK510" s="336"/>
      <c r="AL510" s="42"/>
    </row>
    <row r="511" spans="2:38" x14ac:dyDescent="0.25">
      <c r="B511" s="327"/>
      <c r="C511" s="327"/>
      <c r="D511" s="327"/>
      <c r="E511" s="327"/>
      <c r="F511" s="327"/>
      <c r="G511" s="327"/>
      <c r="H511" s="312"/>
      <c r="I511" s="327"/>
      <c r="J511" s="327"/>
      <c r="K511" s="334"/>
      <c r="L511" s="322"/>
      <c r="M511" s="322"/>
      <c r="N511" s="327"/>
      <c r="O511" s="327"/>
      <c r="P511" s="331"/>
      <c r="Q511" s="327"/>
      <c r="R511" s="276"/>
      <c r="S511" s="322"/>
      <c r="T511" s="322"/>
      <c r="U511" s="327"/>
      <c r="V511" s="335"/>
      <c r="W511" s="327"/>
      <c r="X511" s="327"/>
      <c r="Y511" s="327"/>
      <c r="Z511" s="107"/>
      <c r="AA511" s="335"/>
      <c r="AB511" s="335"/>
      <c r="AC511" s="327"/>
      <c r="AD511" s="327"/>
      <c r="AE511" s="327"/>
      <c r="AF511" s="327"/>
      <c r="AG511" s="327"/>
      <c r="AH511" s="327"/>
      <c r="AI511" s="327"/>
      <c r="AJ511" s="327"/>
      <c r="AK511" s="336"/>
      <c r="AL511" s="42"/>
    </row>
    <row r="512" spans="2:38" x14ac:dyDescent="0.25">
      <c r="B512" s="327"/>
      <c r="C512" s="327"/>
      <c r="D512" s="327"/>
      <c r="E512" s="327"/>
      <c r="F512" s="327"/>
      <c r="G512" s="327"/>
      <c r="H512" s="312"/>
      <c r="I512" s="327"/>
      <c r="J512" s="327"/>
      <c r="K512" s="334"/>
      <c r="L512" s="322"/>
      <c r="M512" s="322"/>
      <c r="N512" s="327"/>
      <c r="O512" s="327"/>
      <c r="P512" s="331"/>
      <c r="Q512" s="327"/>
      <c r="R512" s="276"/>
      <c r="S512" s="322"/>
      <c r="T512" s="322"/>
      <c r="U512" s="327"/>
      <c r="V512" s="335"/>
      <c r="W512" s="327"/>
      <c r="X512" s="327"/>
      <c r="Y512" s="327"/>
      <c r="Z512" s="107"/>
      <c r="AA512" s="335"/>
      <c r="AB512" s="335"/>
      <c r="AC512" s="327"/>
      <c r="AD512" s="327"/>
      <c r="AE512" s="327"/>
      <c r="AF512" s="327"/>
      <c r="AG512" s="327"/>
      <c r="AH512" s="327"/>
      <c r="AI512" s="327"/>
      <c r="AJ512" s="327"/>
      <c r="AK512" s="336"/>
      <c r="AL512" s="42"/>
    </row>
    <row r="513" spans="2:38" x14ac:dyDescent="0.25">
      <c r="B513" s="327"/>
      <c r="C513" s="327"/>
      <c r="D513" s="327"/>
      <c r="E513" s="327"/>
      <c r="F513" s="327"/>
      <c r="G513" s="327"/>
      <c r="H513" s="312"/>
      <c r="I513" s="327"/>
      <c r="J513" s="327"/>
      <c r="K513" s="334"/>
      <c r="L513" s="322"/>
      <c r="M513" s="322"/>
      <c r="N513" s="327"/>
      <c r="O513" s="327"/>
      <c r="P513" s="331"/>
      <c r="Q513" s="327"/>
      <c r="R513" s="276"/>
      <c r="S513" s="322"/>
      <c r="T513" s="322"/>
      <c r="U513" s="327"/>
      <c r="V513" s="335"/>
      <c r="W513" s="327"/>
      <c r="X513" s="327"/>
      <c r="Y513" s="327"/>
      <c r="Z513" s="107"/>
      <c r="AA513" s="335"/>
      <c r="AB513" s="335"/>
      <c r="AC513" s="327"/>
      <c r="AD513" s="327"/>
      <c r="AE513" s="327"/>
      <c r="AF513" s="327"/>
      <c r="AG513" s="327"/>
      <c r="AH513" s="327"/>
      <c r="AI513" s="327"/>
      <c r="AJ513" s="327"/>
      <c r="AK513" s="336"/>
      <c r="AL513" s="42"/>
    </row>
    <row r="514" spans="2:38" x14ac:dyDescent="0.25">
      <c r="B514" s="327"/>
      <c r="C514" s="327"/>
      <c r="D514" s="327"/>
      <c r="E514" s="327"/>
      <c r="F514" s="327"/>
      <c r="G514" s="327"/>
      <c r="H514" s="312"/>
      <c r="I514" s="327"/>
      <c r="J514" s="327"/>
      <c r="K514" s="334"/>
      <c r="L514" s="322"/>
      <c r="M514" s="322"/>
      <c r="N514" s="327"/>
      <c r="O514" s="327"/>
      <c r="P514" s="331"/>
      <c r="Q514" s="327"/>
      <c r="R514" s="276"/>
      <c r="S514" s="322"/>
      <c r="T514" s="322"/>
      <c r="U514" s="327"/>
      <c r="V514" s="335"/>
      <c r="W514" s="327"/>
      <c r="X514" s="327"/>
      <c r="Y514" s="327"/>
      <c r="Z514" s="107"/>
      <c r="AA514" s="335"/>
      <c r="AB514" s="335"/>
      <c r="AC514" s="327"/>
      <c r="AD514" s="327"/>
      <c r="AE514" s="327"/>
      <c r="AF514" s="327"/>
      <c r="AG514" s="327"/>
      <c r="AH514" s="327"/>
      <c r="AI514" s="327"/>
      <c r="AJ514" s="327"/>
      <c r="AK514" s="336"/>
      <c r="AL514" s="42"/>
    </row>
    <row r="515" spans="2:38" x14ac:dyDescent="0.25">
      <c r="B515" s="327"/>
      <c r="C515" s="327"/>
      <c r="D515" s="327"/>
      <c r="E515" s="327"/>
      <c r="F515" s="327"/>
      <c r="G515" s="327"/>
      <c r="H515" s="312"/>
      <c r="I515" s="327"/>
      <c r="J515" s="327"/>
      <c r="K515" s="334"/>
      <c r="L515" s="322"/>
      <c r="M515" s="322"/>
      <c r="N515" s="327"/>
      <c r="O515" s="327"/>
      <c r="P515" s="331"/>
      <c r="Q515" s="327"/>
      <c r="R515" s="276"/>
      <c r="S515" s="322"/>
      <c r="T515" s="322"/>
      <c r="U515" s="327"/>
      <c r="V515" s="335"/>
      <c r="W515" s="327"/>
      <c r="X515" s="327"/>
      <c r="Y515" s="327"/>
      <c r="Z515" s="107"/>
      <c r="AA515" s="335"/>
      <c r="AB515" s="335"/>
      <c r="AC515" s="327"/>
      <c r="AD515" s="327"/>
      <c r="AE515" s="327"/>
      <c r="AF515" s="327"/>
      <c r="AG515" s="327"/>
      <c r="AH515" s="327"/>
      <c r="AI515" s="327"/>
      <c r="AJ515" s="327"/>
      <c r="AK515" s="336"/>
      <c r="AL515" s="42"/>
    </row>
    <row r="516" spans="2:38" x14ac:dyDescent="0.25">
      <c r="B516" s="327"/>
      <c r="C516" s="327"/>
      <c r="D516" s="327"/>
      <c r="E516" s="327"/>
      <c r="F516" s="327"/>
      <c r="G516" s="327"/>
      <c r="H516" s="312"/>
      <c r="I516" s="327"/>
      <c r="J516" s="327"/>
      <c r="K516" s="334"/>
      <c r="L516" s="322"/>
      <c r="M516" s="322"/>
      <c r="N516" s="327"/>
      <c r="O516" s="327"/>
      <c r="P516" s="331"/>
      <c r="Q516" s="327"/>
      <c r="R516" s="276"/>
      <c r="S516" s="322"/>
      <c r="T516" s="322"/>
      <c r="U516" s="327"/>
      <c r="V516" s="335"/>
      <c r="W516" s="327"/>
      <c r="X516" s="327"/>
      <c r="Y516" s="327"/>
      <c r="Z516" s="107"/>
      <c r="AA516" s="335"/>
      <c r="AB516" s="335"/>
      <c r="AC516" s="327"/>
      <c r="AD516" s="327"/>
      <c r="AE516" s="327"/>
      <c r="AF516" s="327"/>
      <c r="AG516" s="327"/>
      <c r="AH516" s="327"/>
      <c r="AI516" s="327"/>
      <c r="AJ516" s="327"/>
      <c r="AK516" s="336"/>
      <c r="AL516" s="42"/>
    </row>
    <row r="517" spans="2:38" x14ac:dyDescent="0.25">
      <c r="B517" s="327"/>
      <c r="C517" s="327"/>
      <c r="D517" s="327"/>
      <c r="E517" s="327"/>
      <c r="F517" s="327"/>
      <c r="G517" s="327"/>
      <c r="H517" s="312"/>
      <c r="I517" s="327"/>
      <c r="J517" s="327"/>
      <c r="K517" s="334"/>
      <c r="L517" s="322"/>
      <c r="M517" s="322"/>
      <c r="N517" s="327"/>
      <c r="O517" s="327"/>
      <c r="P517" s="331"/>
      <c r="Q517" s="327"/>
      <c r="R517" s="276"/>
      <c r="S517" s="322"/>
      <c r="T517" s="322"/>
      <c r="U517" s="327"/>
      <c r="V517" s="335"/>
      <c r="W517" s="327"/>
      <c r="X517" s="327"/>
      <c r="Y517" s="327"/>
      <c r="Z517" s="107"/>
      <c r="AA517" s="335"/>
      <c r="AB517" s="335"/>
      <c r="AC517" s="327"/>
      <c r="AD517" s="327"/>
      <c r="AE517" s="327"/>
      <c r="AF517" s="327"/>
      <c r="AG517" s="327"/>
      <c r="AH517" s="327"/>
      <c r="AI517" s="327"/>
      <c r="AJ517" s="327"/>
      <c r="AK517" s="336"/>
      <c r="AL517" s="42"/>
    </row>
    <row r="518" spans="2:38" x14ac:dyDescent="0.25">
      <c r="B518" s="327"/>
      <c r="C518" s="327"/>
      <c r="D518" s="327"/>
      <c r="E518" s="327"/>
      <c r="F518" s="327"/>
      <c r="G518" s="327"/>
      <c r="H518" s="312"/>
      <c r="I518" s="327"/>
      <c r="J518" s="327"/>
      <c r="K518" s="334"/>
      <c r="L518" s="322"/>
      <c r="M518" s="322"/>
      <c r="N518" s="327"/>
      <c r="O518" s="327"/>
      <c r="P518" s="331"/>
      <c r="Q518" s="327"/>
      <c r="R518" s="276"/>
      <c r="S518" s="322"/>
      <c r="T518" s="322"/>
      <c r="U518" s="327"/>
      <c r="V518" s="335"/>
      <c r="W518" s="327"/>
      <c r="X518" s="327"/>
      <c r="Y518" s="327"/>
      <c r="Z518" s="107"/>
      <c r="AA518" s="335"/>
      <c r="AB518" s="335"/>
      <c r="AC518" s="327"/>
      <c r="AD518" s="327"/>
      <c r="AE518" s="327"/>
      <c r="AF518" s="327"/>
      <c r="AG518" s="327"/>
      <c r="AH518" s="327"/>
      <c r="AI518" s="327"/>
      <c r="AJ518" s="327"/>
      <c r="AK518" s="336"/>
      <c r="AL518" s="42"/>
    </row>
    <row r="519" spans="2:38" x14ac:dyDescent="0.25">
      <c r="B519" s="327"/>
      <c r="C519" s="327"/>
      <c r="D519" s="327"/>
      <c r="E519" s="327"/>
      <c r="F519" s="327"/>
      <c r="G519" s="327"/>
      <c r="H519" s="312"/>
      <c r="I519" s="327"/>
      <c r="J519" s="327"/>
      <c r="K519" s="334"/>
      <c r="L519" s="322"/>
      <c r="M519" s="322"/>
      <c r="N519" s="327"/>
      <c r="O519" s="327"/>
      <c r="P519" s="331"/>
      <c r="Q519" s="327"/>
      <c r="R519" s="276"/>
      <c r="S519" s="322"/>
      <c r="T519" s="322"/>
      <c r="U519" s="327"/>
      <c r="V519" s="335"/>
      <c r="W519" s="327"/>
      <c r="X519" s="327"/>
      <c r="Y519" s="327"/>
      <c r="Z519" s="107"/>
      <c r="AA519" s="335"/>
      <c r="AB519" s="335"/>
      <c r="AC519" s="327"/>
      <c r="AD519" s="327"/>
      <c r="AE519" s="327"/>
      <c r="AF519" s="327"/>
      <c r="AG519" s="327"/>
      <c r="AH519" s="327"/>
      <c r="AI519" s="327"/>
      <c r="AJ519" s="327"/>
      <c r="AK519" s="336"/>
      <c r="AL519" s="42"/>
    </row>
    <row r="520" spans="2:38" x14ac:dyDescent="0.25">
      <c r="B520" s="327"/>
      <c r="C520" s="327"/>
      <c r="D520" s="327"/>
      <c r="E520" s="327"/>
      <c r="F520" s="327"/>
      <c r="G520" s="327"/>
      <c r="H520" s="312"/>
      <c r="I520" s="327"/>
      <c r="J520" s="327"/>
      <c r="K520" s="334"/>
      <c r="L520" s="322"/>
      <c r="M520" s="322"/>
      <c r="N520" s="327"/>
      <c r="O520" s="327"/>
      <c r="P520" s="331"/>
      <c r="Q520" s="327"/>
      <c r="R520" s="276"/>
      <c r="S520" s="322"/>
      <c r="T520" s="322"/>
      <c r="U520" s="327"/>
      <c r="V520" s="335"/>
      <c r="W520" s="327"/>
      <c r="X520" s="327"/>
      <c r="Y520" s="327"/>
      <c r="Z520" s="107"/>
      <c r="AA520" s="335"/>
      <c r="AB520" s="335"/>
      <c r="AC520" s="327"/>
      <c r="AD520" s="327"/>
      <c r="AE520" s="327"/>
      <c r="AF520" s="327"/>
      <c r="AG520" s="327"/>
      <c r="AH520" s="327"/>
      <c r="AI520" s="327"/>
      <c r="AJ520" s="327"/>
      <c r="AK520" s="336"/>
      <c r="AL520" s="42"/>
    </row>
    <row r="521" spans="2:38" x14ac:dyDescent="0.25">
      <c r="B521" s="327"/>
      <c r="C521" s="327"/>
      <c r="D521" s="327"/>
      <c r="E521" s="327"/>
      <c r="F521" s="327"/>
      <c r="G521" s="327"/>
      <c r="H521" s="312"/>
      <c r="I521" s="327"/>
      <c r="J521" s="327"/>
      <c r="K521" s="334"/>
      <c r="L521" s="322"/>
      <c r="M521" s="322"/>
      <c r="N521" s="327"/>
      <c r="O521" s="327"/>
      <c r="P521" s="331"/>
      <c r="Q521" s="327"/>
      <c r="R521" s="276"/>
      <c r="S521" s="322"/>
      <c r="T521" s="322"/>
      <c r="U521" s="327"/>
      <c r="V521" s="335"/>
      <c r="W521" s="327"/>
      <c r="X521" s="327"/>
      <c r="Y521" s="327"/>
      <c r="Z521" s="107"/>
      <c r="AA521" s="335"/>
      <c r="AB521" s="335"/>
      <c r="AC521" s="327"/>
      <c r="AD521" s="327"/>
      <c r="AE521" s="327"/>
      <c r="AF521" s="327"/>
      <c r="AG521" s="327"/>
      <c r="AH521" s="327"/>
      <c r="AI521" s="327"/>
      <c r="AJ521" s="327"/>
      <c r="AK521" s="336"/>
      <c r="AL521" s="42"/>
    </row>
    <row r="522" spans="2:38" x14ac:dyDescent="0.25">
      <c r="B522" s="327"/>
      <c r="C522" s="327"/>
      <c r="D522" s="327"/>
      <c r="E522" s="327"/>
      <c r="F522" s="327"/>
      <c r="G522" s="327"/>
      <c r="H522" s="312"/>
      <c r="I522" s="327"/>
      <c r="J522" s="327"/>
      <c r="K522" s="334"/>
      <c r="L522" s="322"/>
      <c r="M522" s="322"/>
      <c r="N522" s="327"/>
      <c r="O522" s="327"/>
      <c r="P522" s="331"/>
      <c r="Q522" s="327"/>
      <c r="R522" s="276"/>
      <c r="S522" s="322"/>
      <c r="T522" s="322"/>
      <c r="U522" s="327"/>
      <c r="V522" s="335"/>
      <c r="W522" s="327"/>
      <c r="X522" s="327"/>
      <c r="Y522" s="327"/>
      <c r="Z522" s="107"/>
      <c r="AA522" s="335"/>
      <c r="AB522" s="335"/>
      <c r="AC522" s="327"/>
      <c r="AD522" s="327"/>
      <c r="AE522" s="327"/>
      <c r="AF522" s="327"/>
      <c r="AG522" s="327"/>
      <c r="AH522" s="327"/>
      <c r="AI522" s="327"/>
      <c r="AJ522" s="327"/>
      <c r="AK522" s="336"/>
      <c r="AL522" s="42"/>
    </row>
    <row r="523" spans="2:38" x14ac:dyDescent="0.25">
      <c r="B523" s="327"/>
      <c r="C523" s="327"/>
      <c r="D523" s="327"/>
      <c r="E523" s="327"/>
      <c r="F523" s="327"/>
      <c r="G523" s="327"/>
      <c r="H523" s="312"/>
      <c r="I523" s="327"/>
      <c r="J523" s="327"/>
      <c r="K523" s="334"/>
      <c r="L523" s="322"/>
      <c r="M523" s="322"/>
      <c r="N523" s="327"/>
      <c r="O523" s="327"/>
      <c r="P523" s="331"/>
      <c r="Q523" s="327"/>
      <c r="R523" s="276"/>
      <c r="S523" s="322"/>
      <c r="T523" s="322"/>
      <c r="U523" s="327"/>
      <c r="V523" s="335"/>
      <c r="W523" s="327"/>
      <c r="X523" s="327"/>
      <c r="Y523" s="327"/>
      <c r="Z523" s="107"/>
      <c r="AA523" s="335"/>
      <c r="AB523" s="335"/>
      <c r="AC523" s="327"/>
      <c r="AD523" s="327"/>
      <c r="AE523" s="327"/>
      <c r="AF523" s="327"/>
      <c r="AG523" s="327"/>
      <c r="AH523" s="327"/>
      <c r="AI523" s="327"/>
      <c r="AJ523" s="327"/>
      <c r="AK523" s="336"/>
      <c r="AL523" s="42"/>
    </row>
    <row r="524" spans="2:38" x14ac:dyDescent="0.25">
      <c r="B524" s="327"/>
      <c r="C524" s="327"/>
      <c r="D524" s="327"/>
      <c r="E524" s="327"/>
      <c r="F524" s="327"/>
      <c r="G524" s="327"/>
      <c r="H524" s="312"/>
      <c r="I524" s="327"/>
      <c r="J524" s="327"/>
      <c r="K524" s="334"/>
      <c r="L524" s="322"/>
      <c r="M524" s="322"/>
      <c r="N524" s="327"/>
      <c r="O524" s="327"/>
      <c r="P524" s="331"/>
      <c r="Q524" s="327"/>
      <c r="R524" s="276"/>
      <c r="S524" s="322"/>
      <c r="T524" s="322"/>
      <c r="U524" s="327"/>
      <c r="V524" s="335"/>
      <c r="W524" s="327"/>
      <c r="X524" s="327"/>
      <c r="Y524" s="327"/>
      <c r="Z524" s="107"/>
      <c r="AA524" s="335"/>
      <c r="AB524" s="335"/>
      <c r="AC524" s="327"/>
      <c r="AD524" s="327"/>
      <c r="AE524" s="327"/>
      <c r="AF524" s="327"/>
      <c r="AG524" s="327"/>
      <c r="AH524" s="327"/>
      <c r="AI524" s="327"/>
      <c r="AJ524" s="327"/>
      <c r="AK524" s="336"/>
      <c r="AL524" s="42"/>
    </row>
    <row r="525" spans="2:38" x14ac:dyDescent="0.25">
      <c r="B525" s="327"/>
      <c r="C525" s="327"/>
      <c r="D525" s="327"/>
      <c r="E525" s="327"/>
      <c r="F525" s="327"/>
      <c r="G525" s="327"/>
      <c r="H525" s="312"/>
      <c r="I525" s="327"/>
      <c r="J525" s="327"/>
      <c r="K525" s="334"/>
      <c r="L525" s="322"/>
      <c r="M525" s="322"/>
      <c r="N525" s="327"/>
      <c r="O525" s="327"/>
      <c r="P525" s="331"/>
      <c r="Q525" s="327"/>
      <c r="R525" s="276"/>
      <c r="S525" s="322"/>
      <c r="T525" s="322"/>
      <c r="U525" s="327"/>
      <c r="V525" s="335"/>
      <c r="W525" s="327"/>
      <c r="X525" s="327"/>
      <c r="Y525" s="327"/>
      <c r="Z525" s="107"/>
      <c r="AA525" s="335"/>
      <c r="AB525" s="335"/>
      <c r="AC525" s="327"/>
      <c r="AD525" s="327"/>
      <c r="AE525" s="327"/>
      <c r="AF525" s="327"/>
      <c r="AG525" s="327"/>
      <c r="AH525" s="327"/>
      <c r="AI525" s="327"/>
      <c r="AJ525" s="327"/>
      <c r="AK525" s="336"/>
      <c r="AL525" s="42"/>
    </row>
    <row r="526" spans="2:38" x14ac:dyDescent="0.25">
      <c r="B526" s="327"/>
      <c r="C526" s="327"/>
      <c r="D526" s="327"/>
      <c r="E526" s="327"/>
      <c r="F526" s="327"/>
      <c r="G526" s="327"/>
      <c r="H526" s="312"/>
      <c r="I526" s="327"/>
      <c r="J526" s="327"/>
      <c r="K526" s="334"/>
      <c r="L526" s="322"/>
      <c r="M526" s="322"/>
      <c r="N526" s="327"/>
      <c r="O526" s="327"/>
      <c r="P526" s="331"/>
      <c r="Q526" s="327"/>
      <c r="R526" s="276"/>
      <c r="S526" s="322"/>
      <c r="T526" s="322"/>
      <c r="U526" s="327"/>
      <c r="V526" s="335"/>
      <c r="W526" s="327"/>
      <c r="X526" s="327"/>
      <c r="Y526" s="327"/>
      <c r="Z526" s="107"/>
      <c r="AA526" s="335"/>
      <c r="AB526" s="335"/>
      <c r="AC526" s="327"/>
      <c r="AD526" s="327"/>
      <c r="AE526" s="327"/>
      <c r="AF526" s="327"/>
      <c r="AG526" s="327"/>
      <c r="AH526" s="327"/>
      <c r="AI526" s="327"/>
      <c r="AJ526" s="327"/>
      <c r="AK526" s="336"/>
      <c r="AL526" s="42"/>
    </row>
    <row r="527" spans="2:38" x14ac:dyDescent="0.25">
      <c r="B527" s="327"/>
      <c r="C527" s="327"/>
      <c r="D527" s="327"/>
      <c r="E527" s="327"/>
      <c r="F527" s="327"/>
      <c r="G527" s="327"/>
      <c r="H527" s="312"/>
      <c r="I527" s="327"/>
      <c r="J527" s="327"/>
      <c r="K527" s="334"/>
      <c r="L527" s="322"/>
      <c r="M527" s="322"/>
      <c r="N527" s="327"/>
      <c r="O527" s="327"/>
      <c r="P527" s="331"/>
      <c r="Q527" s="327"/>
      <c r="R527" s="276"/>
      <c r="S527" s="322"/>
      <c r="T527" s="322"/>
      <c r="U527" s="327"/>
      <c r="V527" s="335"/>
      <c r="W527" s="327"/>
      <c r="X527" s="327"/>
      <c r="Y527" s="327"/>
      <c r="Z527" s="107"/>
      <c r="AA527" s="335"/>
      <c r="AB527" s="335"/>
      <c r="AC527" s="327"/>
      <c r="AD527" s="327"/>
      <c r="AE527" s="327"/>
      <c r="AF527" s="327"/>
      <c r="AG527" s="327"/>
      <c r="AH527" s="327"/>
      <c r="AI527" s="327"/>
      <c r="AJ527" s="327"/>
      <c r="AK527" s="336"/>
      <c r="AL527" s="42"/>
    </row>
    <row r="528" spans="2:38" x14ac:dyDescent="0.25">
      <c r="B528" s="327"/>
      <c r="C528" s="327"/>
      <c r="D528" s="327"/>
      <c r="E528" s="327"/>
      <c r="F528" s="327"/>
      <c r="G528" s="327"/>
      <c r="H528" s="312"/>
      <c r="I528" s="327"/>
      <c r="J528" s="327"/>
      <c r="K528" s="334"/>
      <c r="L528" s="322"/>
      <c r="M528" s="322"/>
      <c r="N528" s="327"/>
      <c r="O528" s="327"/>
      <c r="P528" s="331"/>
      <c r="Q528" s="327"/>
      <c r="R528" s="276"/>
      <c r="S528" s="322"/>
      <c r="T528" s="322"/>
      <c r="U528" s="327"/>
      <c r="V528" s="335"/>
      <c r="W528" s="327"/>
      <c r="X528" s="327"/>
      <c r="Y528" s="327"/>
      <c r="Z528" s="107"/>
      <c r="AA528" s="335"/>
      <c r="AB528" s="335"/>
      <c r="AC528" s="327"/>
      <c r="AD528" s="327"/>
      <c r="AE528" s="327"/>
      <c r="AF528" s="327"/>
      <c r="AG528" s="327"/>
      <c r="AH528" s="327"/>
      <c r="AI528" s="327"/>
      <c r="AJ528" s="327"/>
      <c r="AK528" s="336"/>
      <c r="AL528" s="42"/>
    </row>
    <row r="529" spans="2:38" x14ac:dyDescent="0.25">
      <c r="B529" s="327"/>
      <c r="C529" s="327"/>
      <c r="D529" s="327"/>
      <c r="E529" s="327"/>
      <c r="F529" s="327"/>
      <c r="G529" s="327"/>
      <c r="H529" s="312"/>
      <c r="I529" s="327"/>
      <c r="J529" s="327"/>
      <c r="K529" s="334"/>
      <c r="L529" s="322"/>
      <c r="M529" s="322"/>
      <c r="N529" s="327"/>
      <c r="O529" s="327"/>
      <c r="P529" s="331"/>
      <c r="Q529" s="327"/>
      <c r="R529" s="276"/>
      <c r="S529" s="322"/>
      <c r="T529" s="322"/>
      <c r="U529" s="327"/>
      <c r="V529" s="335"/>
      <c r="W529" s="327"/>
      <c r="X529" s="327"/>
      <c r="Y529" s="327"/>
      <c r="Z529" s="107"/>
      <c r="AA529" s="335"/>
      <c r="AB529" s="335"/>
      <c r="AC529" s="327"/>
      <c r="AD529" s="327"/>
      <c r="AE529" s="327"/>
      <c r="AF529" s="327"/>
      <c r="AG529" s="327"/>
      <c r="AH529" s="327"/>
      <c r="AI529" s="327"/>
      <c r="AJ529" s="327"/>
      <c r="AK529" s="336"/>
      <c r="AL529" s="42"/>
    </row>
    <row r="530" spans="2:38" x14ac:dyDescent="0.25">
      <c r="B530" s="327"/>
      <c r="C530" s="327"/>
      <c r="D530" s="327"/>
      <c r="E530" s="327"/>
      <c r="F530" s="327"/>
      <c r="G530" s="327"/>
      <c r="H530" s="312"/>
      <c r="I530" s="327"/>
      <c r="J530" s="327"/>
      <c r="K530" s="334"/>
      <c r="L530" s="322"/>
      <c r="M530" s="322"/>
      <c r="N530" s="327"/>
      <c r="O530" s="327"/>
      <c r="P530" s="331"/>
      <c r="Q530" s="327"/>
      <c r="R530" s="276"/>
      <c r="S530" s="322"/>
      <c r="T530" s="322"/>
      <c r="U530" s="327"/>
      <c r="V530" s="335"/>
      <c r="W530" s="327"/>
      <c r="X530" s="327"/>
      <c r="Y530" s="327"/>
      <c r="Z530" s="107"/>
      <c r="AA530" s="335"/>
      <c r="AB530" s="335"/>
      <c r="AC530" s="327"/>
      <c r="AD530" s="327"/>
      <c r="AE530" s="327"/>
      <c r="AF530" s="327"/>
      <c r="AG530" s="327"/>
      <c r="AH530" s="327"/>
      <c r="AI530" s="327"/>
      <c r="AJ530" s="327"/>
      <c r="AK530" s="336"/>
      <c r="AL530" s="42"/>
    </row>
    <row r="531" spans="2:38" x14ac:dyDescent="0.25">
      <c r="B531" s="327"/>
      <c r="C531" s="327"/>
      <c r="D531" s="327"/>
      <c r="E531" s="327"/>
      <c r="F531" s="327"/>
      <c r="G531" s="327"/>
      <c r="H531" s="312"/>
      <c r="I531" s="327"/>
      <c r="J531" s="327"/>
      <c r="K531" s="334"/>
      <c r="L531" s="322"/>
      <c r="M531" s="322"/>
      <c r="N531" s="327"/>
      <c r="O531" s="327"/>
      <c r="P531" s="331"/>
      <c r="Q531" s="327"/>
      <c r="R531" s="276"/>
      <c r="S531" s="322"/>
      <c r="T531" s="322"/>
      <c r="U531" s="327"/>
      <c r="V531" s="335"/>
      <c r="W531" s="327"/>
      <c r="X531" s="327"/>
      <c r="Y531" s="327"/>
      <c r="Z531" s="107"/>
      <c r="AA531" s="335"/>
      <c r="AB531" s="335"/>
      <c r="AC531" s="327"/>
      <c r="AD531" s="327"/>
      <c r="AE531" s="327"/>
      <c r="AF531" s="327"/>
      <c r="AG531" s="327"/>
      <c r="AH531" s="327"/>
      <c r="AI531" s="327"/>
      <c r="AJ531" s="327"/>
      <c r="AK531" s="336"/>
      <c r="AL531" s="42"/>
    </row>
    <row r="532" spans="2:38" x14ac:dyDescent="0.25">
      <c r="B532" s="327"/>
      <c r="C532" s="327"/>
      <c r="D532" s="327"/>
      <c r="E532" s="327"/>
      <c r="F532" s="327"/>
      <c r="G532" s="327"/>
      <c r="H532" s="312"/>
      <c r="I532" s="327"/>
      <c r="J532" s="327"/>
      <c r="K532" s="334"/>
      <c r="L532" s="322"/>
      <c r="M532" s="322"/>
      <c r="N532" s="327"/>
      <c r="O532" s="327"/>
      <c r="P532" s="331"/>
      <c r="Q532" s="327"/>
      <c r="R532" s="276"/>
      <c r="S532" s="322"/>
      <c r="T532" s="322"/>
      <c r="U532" s="327"/>
      <c r="V532" s="335"/>
      <c r="W532" s="327"/>
      <c r="X532" s="327"/>
      <c r="Y532" s="327"/>
      <c r="Z532" s="107"/>
      <c r="AA532" s="335"/>
      <c r="AB532" s="335"/>
      <c r="AC532" s="327"/>
      <c r="AD532" s="327"/>
      <c r="AE532" s="327"/>
      <c r="AF532" s="327"/>
      <c r="AG532" s="327"/>
      <c r="AH532" s="327"/>
      <c r="AI532" s="327"/>
      <c r="AJ532" s="327"/>
      <c r="AK532" s="336"/>
      <c r="AL532" s="42"/>
    </row>
    <row r="533" spans="2:38" x14ac:dyDescent="0.25">
      <c r="B533" s="327"/>
      <c r="C533" s="327"/>
      <c r="D533" s="327"/>
      <c r="E533" s="327"/>
      <c r="F533" s="327"/>
      <c r="G533" s="327"/>
      <c r="H533" s="312"/>
      <c r="I533" s="327"/>
      <c r="J533" s="327"/>
      <c r="K533" s="334"/>
      <c r="L533" s="322"/>
      <c r="M533" s="322"/>
      <c r="N533" s="327"/>
      <c r="O533" s="327"/>
      <c r="P533" s="331"/>
      <c r="Q533" s="327"/>
      <c r="R533" s="276"/>
      <c r="S533" s="322"/>
      <c r="T533" s="322"/>
      <c r="U533" s="327"/>
      <c r="V533" s="335"/>
      <c r="W533" s="327"/>
      <c r="X533" s="327"/>
      <c r="Y533" s="327"/>
      <c r="Z533" s="107"/>
      <c r="AA533" s="335"/>
      <c r="AB533" s="335"/>
      <c r="AC533" s="327"/>
      <c r="AD533" s="327"/>
      <c r="AE533" s="327"/>
      <c r="AF533" s="327"/>
      <c r="AG533" s="327"/>
      <c r="AH533" s="327"/>
      <c r="AI533" s="327"/>
      <c r="AJ533" s="327"/>
      <c r="AK533" s="336"/>
      <c r="AL533" s="42"/>
    </row>
    <row r="534" spans="2:38" x14ac:dyDescent="0.25">
      <c r="B534" s="327"/>
      <c r="C534" s="327"/>
      <c r="D534" s="327"/>
      <c r="E534" s="327"/>
      <c r="F534" s="327"/>
      <c r="G534" s="327"/>
      <c r="H534" s="312"/>
      <c r="I534" s="327"/>
      <c r="J534" s="327"/>
      <c r="K534" s="334"/>
      <c r="L534" s="322"/>
      <c r="M534" s="322"/>
      <c r="N534" s="327"/>
      <c r="O534" s="327"/>
      <c r="P534" s="331"/>
      <c r="Q534" s="327"/>
      <c r="R534" s="276"/>
      <c r="S534" s="322"/>
      <c r="T534" s="322"/>
      <c r="U534" s="327"/>
      <c r="V534" s="335"/>
      <c r="W534" s="327"/>
      <c r="X534" s="327"/>
      <c r="Y534" s="327"/>
      <c r="Z534" s="107"/>
      <c r="AA534" s="335"/>
      <c r="AB534" s="335"/>
      <c r="AC534" s="327"/>
      <c r="AD534" s="327"/>
      <c r="AE534" s="327"/>
      <c r="AF534" s="327"/>
      <c r="AG534" s="327"/>
      <c r="AH534" s="327"/>
      <c r="AI534" s="327"/>
      <c r="AJ534" s="327"/>
      <c r="AK534" s="336"/>
      <c r="AL534" s="42"/>
    </row>
    <row r="535" spans="2:38" x14ac:dyDescent="0.25">
      <c r="B535" s="327"/>
      <c r="C535" s="327"/>
      <c r="D535" s="327"/>
      <c r="E535" s="327"/>
      <c r="F535" s="327"/>
      <c r="G535" s="327"/>
      <c r="H535" s="312"/>
      <c r="I535" s="327"/>
      <c r="J535" s="327"/>
      <c r="K535" s="334"/>
      <c r="L535" s="322"/>
      <c r="M535" s="322"/>
      <c r="N535" s="327"/>
      <c r="O535" s="327"/>
      <c r="P535" s="331"/>
      <c r="Q535" s="327"/>
      <c r="R535" s="276"/>
      <c r="S535" s="322"/>
      <c r="T535" s="322"/>
      <c r="U535" s="327"/>
      <c r="V535" s="335"/>
      <c r="W535" s="327"/>
      <c r="X535" s="327"/>
      <c r="Y535" s="327"/>
      <c r="Z535" s="107"/>
      <c r="AA535" s="335"/>
      <c r="AB535" s="335"/>
      <c r="AC535" s="327"/>
      <c r="AD535" s="327"/>
      <c r="AE535" s="327"/>
      <c r="AF535" s="327"/>
      <c r="AG535" s="327"/>
      <c r="AH535" s="327"/>
      <c r="AI535" s="327"/>
      <c r="AJ535" s="327"/>
      <c r="AK535" s="336"/>
      <c r="AL535" s="42"/>
    </row>
    <row r="536" spans="2:38" x14ac:dyDescent="0.25">
      <c r="B536" s="327"/>
      <c r="C536" s="327"/>
      <c r="D536" s="327"/>
      <c r="E536" s="327"/>
      <c r="F536" s="327"/>
      <c r="G536" s="327"/>
      <c r="H536" s="312"/>
      <c r="I536" s="327"/>
      <c r="J536" s="327"/>
      <c r="K536" s="334"/>
      <c r="L536" s="322"/>
      <c r="M536" s="322"/>
      <c r="N536" s="327"/>
      <c r="O536" s="327"/>
      <c r="P536" s="331"/>
      <c r="Q536" s="327"/>
      <c r="R536" s="276"/>
      <c r="S536" s="322"/>
      <c r="T536" s="322"/>
      <c r="U536" s="327"/>
      <c r="V536" s="335"/>
      <c r="W536" s="327"/>
      <c r="X536" s="327"/>
      <c r="Y536" s="327"/>
      <c r="Z536" s="107"/>
      <c r="AA536" s="335"/>
      <c r="AB536" s="335"/>
      <c r="AC536" s="327"/>
      <c r="AD536" s="327"/>
      <c r="AE536" s="327"/>
      <c r="AF536" s="327"/>
      <c r="AG536" s="327"/>
      <c r="AH536" s="327"/>
      <c r="AI536" s="327"/>
      <c r="AJ536" s="327"/>
      <c r="AK536" s="336"/>
      <c r="AL536" s="42"/>
    </row>
    <row r="537" spans="2:38" x14ac:dyDescent="0.25">
      <c r="B537" s="327"/>
      <c r="C537" s="327"/>
      <c r="D537" s="327"/>
      <c r="E537" s="327"/>
      <c r="F537" s="327"/>
      <c r="G537" s="327"/>
      <c r="H537" s="312"/>
      <c r="I537" s="327"/>
      <c r="J537" s="327"/>
      <c r="K537" s="334"/>
      <c r="L537" s="322"/>
      <c r="M537" s="322"/>
      <c r="N537" s="327"/>
      <c r="O537" s="327"/>
      <c r="P537" s="331"/>
      <c r="Q537" s="327"/>
      <c r="R537" s="276"/>
      <c r="S537" s="322"/>
      <c r="T537" s="322"/>
      <c r="U537" s="327"/>
      <c r="V537" s="335"/>
      <c r="W537" s="327"/>
      <c r="X537" s="327"/>
      <c r="Y537" s="327"/>
      <c r="Z537" s="107"/>
      <c r="AA537" s="335"/>
      <c r="AB537" s="335"/>
      <c r="AC537" s="327"/>
      <c r="AD537" s="327"/>
      <c r="AE537" s="327"/>
      <c r="AF537" s="327"/>
      <c r="AG537" s="327"/>
      <c r="AH537" s="327"/>
      <c r="AI537" s="327"/>
      <c r="AJ537" s="327"/>
      <c r="AK537" s="336"/>
      <c r="AL537" s="42"/>
    </row>
    <row r="538" spans="2:38" x14ac:dyDescent="0.25">
      <c r="B538" s="327"/>
      <c r="C538" s="327"/>
      <c r="D538" s="327"/>
      <c r="E538" s="327"/>
      <c r="F538" s="327"/>
      <c r="G538" s="327"/>
      <c r="H538" s="312"/>
      <c r="I538" s="327"/>
      <c r="J538" s="327"/>
      <c r="K538" s="334"/>
      <c r="L538" s="322"/>
      <c r="M538" s="322"/>
      <c r="N538" s="327"/>
      <c r="O538" s="327"/>
      <c r="P538" s="331"/>
      <c r="Q538" s="327"/>
      <c r="R538" s="276"/>
      <c r="S538" s="322"/>
      <c r="T538" s="322"/>
      <c r="U538" s="327"/>
      <c r="V538" s="335"/>
      <c r="W538" s="327"/>
      <c r="X538" s="327"/>
      <c r="Y538" s="327"/>
      <c r="Z538" s="107"/>
      <c r="AA538" s="335"/>
      <c r="AB538" s="335"/>
      <c r="AC538" s="327"/>
      <c r="AD538" s="327"/>
      <c r="AE538" s="327"/>
      <c r="AF538" s="327"/>
      <c r="AG538" s="327"/>
      <c r="AH538" s="327"/>
      <c r="AI538" s="327"/>
      <c r="AJ538" s="327"/>
      <c r="AK538" s="336"/>
      <c r="AL538" s="42"/>
    </row>
    <row r="539" spans="2:38" x14ac:dyDescent="0.25">
      <c r="B539" s="327"/>
      <c r="C539" s="327"/>
      <c r="D539" s="327"/>
      <c r="E539" s="327"/>
      <c r="F539" s="327"/>
      <c r="G539" s="327"/>
      <c r="H539" s="312"/>
      <c r="I539" s="327"/>
      <c r="J539" s="327"/>
      <c r="K539" s="334"/>
      <c r="L539" s="322"/>
      <c r="M539" s="322"/>
      <c r="N539" s="327"/>
      <c r="O539" s="327"/>
      <c r="P539" s="331"/>
      <c r="Q539" s="327"/>
      <c r="R539" s="276"/>
      <c r="S539" s="322"/>
      <c r="T539" s="322"/>
      <c r="U539" s="327"/>
      <c r="V539" s="335"/>
      <c r="W539" s="327"/>
      <c r="X539" s="327"/>
      <c r="Y539" s="327"/>
      <c r="Z539" s="107"/>
      <c r="AA539" s="335"/>
      <c r="AB539" s="335"/>
      <c r="AC539" s="327"/>
      <c r="AD539" s="327"/>
      <c r="AE539" s="327"/>
      <c r="AF539" s="327"/>
      <c r="AG539" s="327"/>
      <c r="AH539" s="327"/>
      <c r="AI539" s="327"/>
      <c r="AJ539" s="327"/>
      <c r="AK539" s="336"/>
      <c r="AL539" s="42"/>
    </row>
    <row r="540" spans="2:38" x14ac:dyDescent="0.25">
      <c r="B540" s="327"/>
      <c r="C540" s="327"/>
      <c r="D540" s="327"/>
      <c r="E540" s="327"/>
      <c r="F540" s="327"/>
      <c r="G540" s="327"/>
      <c r="H540" s="312"/>
      <c r="I540" s="327"/>
      <c r="J540" s="327"/>
      <c r="K540" s="334"/>
      <c r="L540" s="322"/>
      <c r="M540" s="322"/>
      <c r="N540" s="327"/>
      <c r="O540" s="327"/>
      <c r="P540" s="331"/>
      <c r="Q540" s="327"/>
      <c r="R540" s="276"/>
      <c r="S540" s="322"/>
      <c r="T540" s="322"/>
      <c r="U540" s="327"/>
      <c r="V540" s="335"/>
      <c r="W540" s="327"/>
      <c r="X540" s="327"/>
      <c r="Y540" s="327"/>
      <c r="Z540" s="107"/>
      <c r="AA540" s="335"/>
      <c r="AB540" s="335"/>
      <c r="AC540" s="327"/>
      <c r="AD540" s="327"/>
      <c r="AE540" s="327"/>
      <c r="AF540" s="327"/>
      <c r="AG540" s="327"/>
      <c r="AH540" s="327"/>
      <c r="AI540" s="327"/>
      <c r="AJ540" s="327"/>
      <c r="AK540" s="336"/>
      <c r="AL540" s="42"/>
    </row>
    <row r="541" spans="2:38" x14ac:dyDescent="0.25">
      <c r="B541" s="327"/>
      <c r="C541" s="327"/>
      <c r="D541" s="327"/>
      <c r="E541" s="327"/>
      <c r="F541" s="327"/>
      <c r="G541" s="327"/>
      <c r="H541" s="312"/>
      <c r="I541" s="327"/>
      <c r="J541" s="327"/>
      <c r="K541" s="334"/>
      <c r="L541" s="322"/>
      <c r="M541" s="322"/>
      <c r="N541" s="327"/>
      <c r="O541" s="327"/>
      <c r="P541" s="331"/>
      <c r="Q541" s="327"/>
      <c r="R541" s="276"/>
      <c r="S541" s="322"/>
      <c r="T541" s="322"/>
      <c r="U541" s="327"/>
      <c r="V541" s="335"/>
      <c r="W541" s="327"/>
      <c r="X541" s="327"/>
      <c r="Y541" s="327"/>
      <c r="Z541" s="107"/>
      <c r="AA541" s="335"/>
      <c r="AB541" s="335"/>
      <c r="AC541" s="327"/>
      <c r="AD541" s="327"/>
      <c r="AE541" s="327"/>
      <c r="AF541" s="327"/>
      <c r="AG541" s="327"/>
      <c r="AH541" s="327"/>
      <c r="AI541" s="327"/>
      <c r="AJ541" s="327"/>
      <c r="AK541" s="336"/>
      <c r="AL541" s="42"/>
    </row>
    <row r="542" spans="2:38" x14ac:dyDescent="0.25">
      <c r="B542" s="327"/>
      <c r="C542" s="327"/>
      <c r="D542" s="327"/>
      <c r="E542" s="327"/>
      <c r="F542" s="327"/>
      <c r="G542" s="327"/>
      <c r="H542" s="312"/>
      <c r="I542" s="327"/>
      <c r="J542" s="327"/>
      <c r="K542" s="334"/>
      <c r="L542" s="322"/>
      <c r="M542" s="322"/>
      <c r="N542" s="327"/>
      <c r="O542" s="327"/>
      <c r="P542" s="331"/>
      <c r="Q542" s="327"/>
      <c r="R542" s="276"/>
      <c r="S542" s="322"/>
      <c r="T542" s="322"/>
      <c r="U542" s="327"/>
      <c r="V542" s="335"/>
      <c r="W542" s="327"/>
      <c r="X542" s="327"/>
      <c r="Y542" s="327"/>
      <c r="Z542" s="107"/>
      <c r="AA542" s="335"/>
      <c r="AB542" s="335"/>
      <c r="AC542" s="327"/>
      <c r="AD542" s="327"/>
      <c r="AE542" s="327"/>
      <c r="AF542" s="327"/>
      <c r="AG542" s="327"/>
      <c r="AH542" s="327"/>
      <c r="AI542" s="327"/>
      <c r="AJ542" s="327"/>
      <c r="AK542" s="336"/>
      <c r="AL542" s="42"/>
    </row>
    <row r="543" spans="2:38" x14ac:dyDescent="0.25">
      <c r="B543" s="327"/>
      <c r="C543" s="327"/>
      <c r="D543" s="327"/>
      <c r="E543" s="327"/>
      <c r="F543" s="327"/>
      <c r="G543" s="327"/>
      <c r="H543" s="312"/>
      <c r="I543" s="327"/>
      <c r="J543" s="327"/>
      <c r="K543" s="334"/>
      <c r="L543" s="322"/>
      <c r="M543" s="322"/>
      <c r="N543" s="327"/>
      <c r="O543" s="327"/>
      <c r="P543" s="331"/>
      <c r="Q543" s="327"/>
      <c r="R543" s="276"/>
      <c r="S543" s="322"/>
      <c r="T543" s="322"/>
      <c r="U543" s="327"/>
      <c r="V543" s="335"/>
      <c r="W543" s="327"/>
      <c r="X543" s="327"/>
      <c r="Y543" s="327"/>
      <c r="Z543" s="107"/>
      <c r="AA543" s="335"/>
      <c r="AB543" s="335"/>
      <c r="AC543" s="327"/>
      <c r="AD543" s="327"/>
      <c r="AE543" s="327"/>
      <c r="AF543" s="327"/>
      <c r="AG543" s="327"/>
      <c r="AH543" s="327"/>
      <c r="AI543" s="327"/>
      <c r="AJ543" s="327"/>
      <c r="AK543" s="336"/>
      <c r="AL543" s="42"/>
    </row>
    <row r="544" spans="2:38" x14ac:dyDescent="0.25">
      <c r="B544" s="327"/>
      <c r="C544" s="327"/>
      <c r="D544" s="327"/>
      <c r="E544" s="327"/>
      <c r="F544" s="327"/>
      <c r="G544" s="327"/>
      <c r="H544" s="312"/>
      <c r="I544" s="327"/>
      <c r="J544" s="327"/>
      <c r="K544" s="334"/>
      <c r="L544" s="322"/>
      <c r="M544" s="322"/>
      <c r="N544" s="327"/>
      <c r="O544" s="327"/>
      <c r="P544" s="331"/>
      <c r="Q544" s="327"/>
      <c r="R544" s="276"/>
      <c r="S544" s="322"/>
      <c r="T544" s="322"/>
      <c r="U544" s="327"/>
      <c r="V544" s="335"/>
      <c r="W544" s="327"/>
      <c r="X544" s="327"/>
      <c r="Y544" s="327"/>
      <c r="Z544" s="107"/>
      <c r="AA544" s="335"/>
      <c r="AB544" s="335"/>
      <c r="AC544" s="327"/>
      <c r="AD544" s="327"/>
      <c r="AE544" s="327"/>
      <c r="AF544" s="327"/>
      <c r="AG544" s="327"/>
      <c r="AH544" s="327"/>
      <c r="AI544" s="327"/>
      <c r="AJ544" s="327"/>
      <c r="AK544" s="336"/>
      <c r="AL544" s="42"/>
    </row>
    <row r="545" spans="2:38" x14ac:dyDescent="0.25">
      <c r="B545" s="327"/>
      <c r="C545" s="327"/>
      <c r="D545" s="327"/>
      <c r="E545" s="327"/>
      <c r="F545" s="327"/>
      <c r="G545" s="327"/>
      <c r="H545" s="312"/>
      <c r="I545" s="327"/>
      <c r="J545" s="327"/>
      <c r="K545" s="334"/>
      <c r="L545" s="322"/>
      <c r="M545" s="322"/>
      <c r="N545" s="327"/>
      <c r="O545" s="327"/>
      <c r="P545" s="331"/>
      <c r="Q545" s="327"/>
      <c r="R545" s="276"/>
      <c r="S545" s="322"/>
      <c r="T545" s="322"/>
      <c r="U545" s="327"/>
      <c r="V545" s="335"/>
      <c r="W545" s="327"/>
      <c r="X545" s="327"/>
      <c r="Y545" s="327"/>
      <c r="Z545" s="107"/>
      <c r="AA545" s="335"/>
      <c r="AB545" s="335"/>
      <c r="AC545" s="327"/>
      <c r="AD545" s="327"/>
      <c r="AE545" s="327"/>
      <c r="AF545" s="327"/>
      <c r="AG545" s="327"/>
      <c r="AH545" s="327"/>
      <c r="AI545" s="327"/>
      <c r="AJ545" s="327"/>
      <c r="AK545" s="336"/>
      <c r="AL545" s="42"/>
    </row>
    <row r="546" spans="2:38" x14ac:dyDescent="0.25">
      <c r="B546" s="327"/>
      <c r="C546" s="327"/>
      <c r="D546" s="327"/>
      <c r="E546" s="327"/>
      <c r="F546" s="327"/>
      <c r="G546" s="327"/>
      <c r="H546" s="312"/>
      <c r="I546" s="327"/>
      <c r="J546" s="327"/>
      <c r="K546" s="334"/>
      <c r="L546" s="322"/>
      <c r="M546" s="322"/>
      <c r="N546" s="327"/>
      <c r="O546" s="327"/>
      <c r="P546" s="331"/>
      <c r="Q546" s="327"/>
      <c r="R546" s="276"/>
      <c r="S546" s="322"/>
      <c r="T546" s="322"/>
      <c r="U546" s="327"/>
      <c r="V546" s="335"/>
      <c r="W546" s="327"/>
      <c r="X546" s="327"/>
      <c r="Y546" s="327"/>
      <c r="Z546" s="107"/>
      <c r="AA546" s="335"/>
      <c r="AB546" s="335"/>
      <c r="AC546" s="327"/>
      <c r="AD546" s="327"/>
      <c r="AE546" s="327"/>
      <c r="AF546" s="327"/>
      <c r="AG546" s="327"/>
      <c r="AH546" s="327"/>
      <c r="AI546" s="327"/>
      <c r="AJ546" s="327"/>
      <c r="AK546" s="336"/>
      <c r="AL546" s="42"/>
    </row>
    <row r="547" spans="2:38" x14ac:dyDescent="0.25">
      <c r="B547" s="327"/>
      <c r="C547" s="327"/>
      <c r="D547" s="327"/>
      <c r="E547" s="327"/>
      <c r="F547" s="327"/>
      <c r="G547" s="327"/>
      <c r="H547" s="312"/>
      <c r="I547" s="327"/>
      <c r="J547" s="327"/>
      <c r="K547" s="334"/>
      <c r="L547" s="322"/>
      <c r="M547" s="322"/>
      <c r="N547" s="327"/>
      <c r="O547" s="327"/>
      <c r="P547" s="331"/>
      <c r="Q547" s="327"/>
      <c r="R547" s="276"/>
      <c r="S547" s="322"/>
      <c r="T547" s="322"/>
      <c r="U547" s="327"/>
      <c r="V547" s="335"/>
      <c r="W547" s="327"/>
      <c r="X547" s="327"/>
      <c r="Y547" s="327"/>
      <c r="Z547" s="107"/>
      <c r="AA547" s="335"/>
      <c r="AB547" s="335"/>
      <c r="AC547" s="327"/>
      <c r="AD547" s="327"/>
      <c r="AE547" s="327"/>
      <c r="AF547" s="327"/>
      <c r="AG547" s="327"/>
      <c r="AH547" s="327"/>
      <c r="AI547" s="327"/>
      <c r="AJ547" s="327"/>
      <c r="AK547" s="336"/>
      <c r="AL547" s="42"/>
    </row>
    <row r="548" spans="2:38" x14ac:dyDescent="0.25">
      <c r="B548" s="327"/>
      <c r="C548" s="327"/>
      <c r="D548" s="327"/>
      <c r="E548" s="327"/>
      <c r="F548" s="327"/>
      <c r="G548" s="327"/>
      <c r="H548" s="312"/>
      <c r="I548" s="327"/>
      <c r="J548" s="327"/>
      <c r="K548" s="334"/>
      <c r="L548" s="322"/>
      <c r="M548" s="322"/>
      <c r="N548" s="327"/>
      <c r="O548" s="327"/>
      <c r="P548" s="331"/>
      <c r="Q548" s="327"/>
      <c r="R548" s="276"/>
      <c r="S548" s="322"/>
      <c r="T548" s="322"/>
      <c r="U548" s="327"/>
      <c r="V548" s="335"/>
      <c r="W548" s="327"/>
      <c r="X548" s="327"/>
      <c r="Y548" s="327"/>
      <c r="Z548" s="107"/>
      <c r="AA548" s="335"/>
      <c r="AB548" s="335"/>
      <c r="AC548" s="327"/>
      <c r="AD548" s="327"/>
      <c r="AE548" s="327"/>
      <c r="AF548" s="327"/>
      <c r="AG548" s="327"/>
      <c r="AH548" s="327"/>
      <c r="AI548" s="327"/>
      <c r="AJ548" s="327"/>
      <c r="AK548" s="336"/>
      <c r="AL548" s="42"/>
    </row>
    <row r="549" spans="2:38" x14ac:dyDescent="0.25">
      <c r="B549" s="327"/>
      <c r="C549" s="327"/>
      <c r="D549" s="327"/>
      <c r="E549" s="327"/>
      <c r="F549" s="327"/>
      <c r="G549" s="327"/>
      <c r="H549" s="312"/>
      <c r="I549" s="327"/>
      <c r="J549" s="327"/>
      <c r="K549" s="334"/>
      <c r="L549" s="322"/>
      <c r="M549" s="322"/>
      <c r="N549" s="327"/>
      <c r="O549" s="327"/>
      <c r="P549" s="331"/>
      <c r="Q549" s="327"/>
      <c r="R549" s="276"/>
      <c r="S549" s="322"/>
      <c r="T549" s="322"/>
      <c r="U549" s="327"/>
      <c r="V549" s="335"/>
      <c r="W549" s="327"/>
      <c r="X549" s="327"/>
      <c r="Y549" s="327"/>
      <c r="Z549" s="107"/>
      <c r="AA549" s="335"/>
      <c r="AB549" s="335"/>
      <c r="AC549" s="327"/>
      <c r="AD549" s="327"/>
      <c r="AE549" s="327"/>
      <c r="AF549" s="327"/>
      <c r="AG549" s="327"/>
      <c r="AH549" s="327"/>
      <c r="AI549" s="327"/>
      <c r="AJ549" s="327"/>
      <c r="AK549" s="336"/>
      <c r="AL549" s="42"/>
    </row>
    <row r="550" spans="2:38" x14ac:dyDescent="0.25">
      <c r="B550" s="327"/>
      <c r="C550" s="327"/>
      <c r="D550" s="327"/>
      <c r="E550" s="327"/>
      <c r="F550" s="327"/>
      <c r="G550" s="327"/>
      <c r="H550" s="312"/>
      <c r="I550" s="327"/>
      <c r="J550" s="327"/>
      <c r="K550" s="334"/>
      <c r="L550" s="322"/>
      <c r="M550" s="322"/>
      <c r="N550" s="327"/>
      <c r="O550" s="327"/>
      <c r="P550" s="331"/>
      <c r="Q550" s="327"/>
      <c r="R550" s="276"/>
      <c r="S550" s="322"/>
      <c r="T550" s="322"/>
      <c r="U550" s="327"/>
      <c r="V550" s="335"/>
      <c r="W550" s="327"/>
      <c r="X550" s="327"/>
      <c r="Y550" s="327"/>
      <c r="Z550" s="107"/>
      <c r="AA550" s="335"/>
      <c r="AB550" s="335"/>
      <c r="AC550" s="327"/>
      <c r="AD550" s="327"/>
      <c r="AE550" s="327"/>
      <c r="AF550" s="327"/>
      <c r="AG550" s="327"/>
      <c r="AH550" s="327"/>
      <c r="AI550" s="327"/>
      <c r="AJ550" s="327"/>
      <c r="AK550" s="336"/>
      <c r="AL550" s="42"/>
    </row>
    <row r="551" spans="2:38" x14ac:dyDescent="0.25">
      <c r="B551" s="327"/>
      <c r="C551" s="327"/>
      <c r="D551" s="327"/>
      <c r="E551" s="327"/>
      <c r="F551" s="327"/>
      <c r="G551" s="327"/>
      <c r="H551" s="312"/>
      <c r="I551" s="327"/>
      <c r="J551" s="327"/>
      <c r="K551" s="334"/>
      <c r="L551" s="322"/>
      <c r="M551" s="322"/>
      <c r="N551" s="327"/>
      <c r="O551" s="327"/>
      <c r="P551" s="331"/>
      <c r="Q551" s="327"/>
      <c r="R551" s="276"/>
      <c r="S551" s="322"/>
      <c r="T551" s="322"/>
      <c r="U551" s="327"/>
      <c r="V551" s="335"/>
      <c r="W551" s="327"/>
      <c r="X551" s="327"/>
      <c r="Y551" s="327"/>
      <c r="Z551" s="107"/>
      <c r="AA551" s="335"/>
      <c r="AB551" s="335"/>
      <c r="AC551" s="327"/>
      <c r="AD551" s="327"/>
      <c r="AE551" s="327"/>
      <c r="AF551" s="327"/>
      <c r="AG551" s="327"/>
      <c r="AH551" s="327"/>
      <c r="AI551" s="327"/>
      <c r="AJ551" s="327"/>
      <c r="AK551" s="336"/>
      <c r="AL551" s="42"/>
    </row>
    <row r="552" spans="2:38" x14ac:dyDescent="0.25">
      <c r="B552" s="327"/>
      <c r="C552" s="327"/>
      <c r="D552" s="327"/>
      <c r="E552" s="327"/>
      <c r="F552" s="327"/>
      <c r="G552" s="327"/>
      <c r="H552" s="312"/>
      <c r="I552" s="327"/>
      <c r="J552" s="327"/>
      <c r="K552" s="334"/>
      <c r="L552" s="322"/>
      <c r="M552" s="322"/>
      <c r="N552" s="327"/>
      <c r="O552" s="327"/>
      <c r="P552" s="331"/>
      <c r="Q552" s="327"/>
      <c r="R552" s="276"/>
      <c r="S552" s="322"/>
      <c r="T552" s="322"/>
      <c r="U552" s="327"/>
      <c r="V552" s="335"/>
      <c r="W552" s="327"/>
      <c r="X552" s="327"/>
      <c r="Y552" s="327"/>
      <c r="Z552" s="107"/>
      <c r="AA552" s="335"/>
      <c r="AB552" s="335"/>
      <c r="AC552" s="327"/>
      <c r="AD552" s="327"/>
      <c r="AE552" s="327"/>
      <c r="AF552" s="327"/>
      <c r="AG552" s="327"/>
      <c r="AH552" s="327"/>
      <c r="AI552" s="327"/>
      <c r="AJ552" s="327"/>
      <c r="AK552" s="336"/>
      <c r="AL552" s="42"/>
    </row>
    <row r="553" spans="2:38" x14ac:dyDescent="0.25">
      <c r="B553" s="327"/>
      <c r="C553" s="327"/>
      <c r="D553" s="327"/>
      <c r="E553" s="327"/>
      <c r="F553" s="327"/>
      <c r="G553" s="327"/>
      <c r="H553" s="312"/>
      <c r="I553" s="327"/>
      <c r="J553" s="327"/>
      <c r="K553" s="334"/>
      <c r="L553" s="322"/>
      <c r="M553" s="322"/>
      <c r="N553" s="327"/>
      <c r="O553" s="327"/>
      <c r="P553" s="331"/>
      <c r="Q553" s="327"/>
      <c r="R553" s="276"/>
      <c r="S553" s="322"/>
      <c r="T553" s="322"/>
      <c r="U553" s="327"/>
      <c r="V553" s="335"/>
      <c r="W553" s="327"/>
      <c r="X553" s="327"/>
      <c r="Y553" s="327"/>
      <c r="Z553" s="107"/>
      <c r="AA553" s="335"/>
      <c r="AB553" s="335"/>
      <c r="AC553" s="327"/>
      <c r="AD553" s="327"/>
      <c r="AE553" s="327"/>
      <c r="AF553" s="327"/>
      <c r="AG553" s="327"/>
      <c r="AH553" s="327"/>
      <c r="AI553" s="327"/>
      <c r="AJ553" s="327"/>
      <c r="AK553" s="336"/>
      <c r="AL553" s="42"/>
    </row>
    <row r="554" spans="2:38" x14ac:dyDescent="0.25">
      <c r="B554" s="327"/>
      <c r="C554" s="327"/>
      <c r="D554" s="327"/>
      <c r="E554" s="327"/>
      <c r="F554" s="327"/>
      <c r="G554" s="327"/>
      <c r="H554" s="312"/>
      <c r="I554" s="327"/>
      <c r="J554" s="327"/>
      <c r="K554" s="334"/>
      <c r="L554" s="322"/>
      <c r="M554" s="322"/>
      <c r="N554" s="327"/>
      <c r="O554" s="327"/>
      <c r="P554" s="331"/>
      <c r="Q554" s="327"/>
      <c r="R554" s="276"/>
      <c r="S554" s="322"/>
      <c r="T554" s="322"/>
      <c r="U554" s="327"/>
      <c r="V554" s="335"/>
      <c r="W554" s="327"/>
      <c r="X554" s="327"/>
      <c r="Y554" s="327"/>
      <c r="Z554" s="107"/>
      <c r="AA554" s="335"/>
      <c r="AB554" s="335"/>
      <c r="AC554" s="327"/>
      <c r="AD554" s="327"/>
      <c r="AE554" s="327"/>
      <c r="AF554" s="327"/>
      <c r="AG554" s="327"/>
      <c r="AH554" s="327"/>
      <c r="AI554" s="327"/>
      <c r="AJ554" s="327"/>
      <c r="AK554" s="336"/>
      <c r="AL554" s="42"/>
    </row>
    <row r="555" spans="2:38" x14ac:dyDescent="0.25">
      <c r="B555" s="327"/>
      <c r="C555" s="327"/>
      <c r="D555" s="327"/>
      <c r="E555" s="327"/>
      <c r="F555" s="327"/>
      <c r="G555" s="327"/>
      <c r="H555" s="312"/>
      <c r="I555" s="327"/>
      <c r="J555" s="327"/>
      <c r="K555" s="334"/>
      <c r="L555" s="322"/>
      <c r="M555" s="322"/>
      <c r="N555" s="327"/>
      <c r="O555" s="327"/>
      <c r="P555" s="331"/>
      <c r="Q555" s="327"/>
      <c r="R555" s="276"/>
      <c r="S555" s="322"/>
      <c r="T555" s="322"/>
      <c r="U555" s="327"/>
      <c r="V555" s="335"/>
      <c r="W555" s="327"/>
      <c r="X555" s="327"/>
      <c r="Y555" s="327"/>
      <c r="Z555" s="107"/>
      <c r="AA555" s="335"/>
      <c r="AB555" s="335"/>
      <c r="AC555" s="327"/>
      <c r="AD555" s="327"/>
      <c r="AE555" s="327"/>
      <c r="AF555" s="327"/>
      <c r="AG555" s="327"/>
      <c r="AH555" s="327"/>
      <c r="AI555" s="327"/>
      <c r="AJ555" s="327"/>
      <c r="AK555" s="336"/>
      <c r="AL555" s="42"/>
    </row>
    <row r="556" spans="2:38" x14ac:dyDescent="0.25">
      <c r="B556" s="327"/>
      <c r="C556" s="327"/>
      <c r="D556" s="327"/>
      <c r="E556" s="327"/>
      <c r="F556" s="327"/>
      <c r="G556" s="327"/>
      <c r="H556" s="312"/>
      <c r="I556" s="327"/>
      <c r="J556" s="327"/>
      <c r="K556" s="334"/>
      <c r="L556" s="322"/>
      <c r="M556" s="322"/>
      <c r="N556" s="327"/>
      <c r="O556" s="327"/>
      <c r="P556" s="331"/>
      <c r="Q556" s="327"/>
      <c r="R556" s="276"/>
      <c r="S556" s="322"/>
      <c r="T556" s="322"/>
      <c r="U556" s="327"/>
      <c r="V556" s="335"/>
      <c r="W556" s="327"/>
      <c r="X556" s="327"/>
      <c r="Y556" s="327"/>
      <c r="Z556" s="107"/>
      <c r="AA556" s="335"/>
      <c r="AB556" s="335"/>
      <c r="AC556" s="327"/>
      <c r="AD556" s="327"/>
      <c r="AE556" s="327"/>
      <c r="AF556" s="327"/>
      <c r="AG556" s="327"/>
      <c r="AH556" s="327"/>
      <c r="AI556" s="327"/>
      <c r="AJ556" s="327"/>
      <c r="AK556" s="336"/>
      <c r="AL556" s="42"/>
    </row>
    <row r="557" spans="2:38" x14ac:dyDescent="0.25">
      <c r="B557" s="327"/>
      <c r="C557" s="327"/>
      <c r="D557" s="327"/>
      <c r="E557" s="327"/>
      <c r="F557" s="327"/>
      <c r="G557" s="327"/>
      <c r="H557" s="312"/>
      <c r="I557" s="327"/>
      <c r="J557" s="327"/>
      <c r="K557" s="334"/>
      <c r="L557" s="322"/>
      <c r="M557" s="322"/>
      <c r="N557" s="327"/>
      <c r="O557" s="327"/>
      <c r="P557" s="331"/>
      <c r="Q557" s="327"/>
      <c r="R557" s="276"/>
      <c r="S557" s="322"/>
      <c r="T557" s="322"/>
      <c r="U557" s="327"/>
      <c r="V557" s="335"/>
      <c r="W557" s="327"/>
      <c r="X557" s="327"/>
      <c r="Y557" s="327"/>
      <c r="Z557" s="107"/>
      <c r="AA557" s="335"/>
      <c r="AB557" s="335"/>
      <c r="AC557" s="327"/>
      <c r="AD557" s="327"/>
      <c r="AE557" s="327"/>
      <c r="AF557" s="327"/>
      <c r="AG557" s="327"/>
      <c r="AH557" s="327"/>
      <c r="AI557" s="327"/>
      <c r="AJ557" s="327"/>
      <c r="AK557" s="336"/>
      <c r="AL557" s="42"/>
    </row>
    <row r="558" spans="2:38" x14ac:dyDescent="0.25">
      <c r="B558" s="327"/>
      <c r="C558" s="327"/>
      <c r="D558" s="327"/>
      <c r="E558" s="327"/>
      <c r="F558" s="327"/>
      <c r="G558" s="327"/>
      <c r="H558" s="312"/>
      <c r="I558" s="327"/>
      <c r="J558" s="327"/>
      <c r="K558" s="334"/>
      <c r="L558" s="322"/>
      <c r="M558" s="322"/>
      <c r="N558" s="327"/>
      <c r="O558" s="327"/>
      <c r="P558" s="331"/>
      <c r="Q558" s="327"/>
      <c r="R558" s="276"/>
      <c r="S558" s="322"/>
      <c r="T558" s="322"/>
      <c r="U558" s="327"/>
      <c r="V558" s="335"/>
      <c r="W558" s="327"/>
      <c r="X558" s="327"/>
      <c r="Y558" s="327"/>
      <c r="Z558" s="107"/>
      <c r="AA558" s="335"/>
      <c r="AB558" s="335"/>
      <c r="AC558" s="327"/>
      <c r="AD558" s="327"/>
      <c r="AE558" s="327"/>
      <c r="AF558" s="327"/>
      <c r="AG558" s="327"/>
      <c r="AH558" s="327"/>
      <c r="AI558" s="327"/>
      <c r="AJ558" s="327"/>
      <c r="AK558" s="336"/>
      <c r="AL558" s="42"/>
    </row>
    <row r="559" spans="2:38" x14ac:dyDescent="0.25">
      <c r="B559" s="327"/>
      <c r="C559" s="327"/>
      <c r="D559" s="327"/>
      <c r="E559" s="327"/>
      <c r="F559" s="327"/>
      <c r="G559" s="327"/>
      <c r="H559" s="312"/>
      <c r="I559" s="327"/>
      <c r="J559" s="327"/>
      <c r="K559" s="334"/>
      <c r="L559" s="322"/>
      <c r="M559" s="322"/>
      <c r="N559" s="327"/>
      <c r="O559" s="327"/>
      <c r="P559" s="331"/>
      <c r="Q559" s="327"/>
      <c r="R559" s="276"/>
      <c r="S559" s="322"/>
      <c r="T559" s="322"/>
      <c r="U559" s="327"/>
      <c r="V559" s="335"/>
      <c r="W559" s="327"/>
      <c r="X559" s="327"/>
      <c r="Y559" s="327"/>
      <c r="Z559" s="107"/>
      <c r="AA559" s="335"/>
      <c r="AB559" s="335"/>
      <c r="AC559" s="327"/>
      <c r="AD559" s="327"/>
      <c r="AE559" s="327"/>
      <c r="AF559" s="327"/>
      <c r="AG559" s="327"/>
      <c r="AH559" s="327"/>
      <c r="AI559" s="327"/>
      <c r="AJ559" s="327"/>
      <c r="AK559" s="336"/>
      <c r="AL559" s="42"/>
    </row>
    <row r="560" spans="2:38" x14ac:dyDescent="0.25">
      <c r="B560" s="327"/>
      <c r="C560" s="327"/>
      <c r="D560" s="327"/>
      <c r="E560" s="327"/>
      <c r="F560" s="327"/>
      <c r="G560" s="327"/>
      <c r="H560" s="312"/>
      <c r="I560" s="327"/>
      <c r="J560" s="327"/>
      <c r="K560" s="334"/>
      <c r="L560" s="322"/>
      <c r="M560" s="322"/>
      <c r="N560" s="327"/>
      <c r="O560" s="327"/>
      <c r="P560" s="331"/>
      <c r="Q560" s="327"/>
      <c r="R560" s="276"/>
      <c r="S560" s="322"/>
      <c r="T560" s="322"/>
      <c r="U560" s="327"/>
      <c r="V560" s="335"/>
      <c r="W560" s="327"/>
      <c r="X560" s="327"/>
      <c r="Y560" s="327"/>
      <c r="Z560" s="107"/>
      <c r="AA560" s="335"/>
      <c r="AB560" s="335"/>
      <c r="AC560" s="327"/>
      <c r="AD560" s="327"/>
      <c r="AE560" s="327"/>
      <c r="AF560" s="327"/>
      <c r="AG560" s="327"/>
      <c r="AH560" s="327"/>
      <c r="AI560" s="327"/>
      <c r="AJ560" s="327"/>
      <c r="AK560" s="336"/>
      <c r="AL560" s="42"/>
    </row>
    <row r="561" spans="2:38" x14ac:dyDescent="0.25">
      <c r="B561" s="327"/>
      <c r="C561" s="327"/>
      <c r="D561" s="327"/>
      <c r="E561" s="327"/>
      <c r="F561" s="327"/>
      <c r="G561" s="327"/>
      <c r="H561" s="312"/>
      <c r="I561" s="327"/>
      <c r="J561" s="327"/>
      <c r="K561" s="334"/>
      <c r="L561" s="322"/>
      <c r="M561" s="322"/>
      <c r="N561" s="327"/>
      <c r="O561" s="327"/>
      <c r="P561" s="331"/>
      <c r="Q561" s="327"/>
      <c r="R561" s="276"/>
      <c r="S561" s="322"/>
      <c r="T561" s="322"/>
      <c r="U561" s="327"/>
      <c r="V561" s="335"/>
      <c r="W561" s="327"/>
      <c r="X561" s="327"/>
      <c r="Y561" s="327"/>
      <c r="Z561" s="107"/>
      <c r="AA561" s="335"/>
      <c r="AB561" s="335"/>
      <c r="AC561" s="327"/>
      <c r="AD561" s="327"/>
      <c r="AE561" s="327"/>
      <c r="AF561" s="327"/>
      <c r="AG561" s="327"/>
      <c r="AH561" s="327"/>
      <c r="AI561" s="327"/>
      <c r="AJ561" s="327"/>
      <c r="AK561" s="336"/>
      <c r="AL561" s="42"/>
    </row>
    <row r="562" spans="2:38" x14ac:dyDescent="0.25">
      <c r="B562" s="327"/>
      <c r="C562" s="327"/>
      <c r="D562" s="327"/>
      <c r="E562" s="327"/>
      <c r="F562" s="327"/>
      <c r="G562" s="327"/>
      <c r="H562" s="312"/>
      <c r="I562" s="327"/>
      <c r="J562" s="327"/>
      <c r="K562" s="334"/>
      <c r="L562" s="322"/>
      <c r="M562" s="322"/>
      <c r="N562" s="327"/>
      <c r="O562" s="327"/>
      <c r="P562" s="331"/>
      <c r="Q562" s="327"/>
      <c r="R562" s="276"/>
      <c r="S562" s="322"/>
      <c r="T562" s="322"/>
      <c r="U562" s="327"/>
      <c r="V562" s="335"/>
      <c r="W562" s="327"/>
      <c r="X562" s="327"/>
      <c r="Y562" s="327"/>
      <c r="Z562" s="107"/>
      <c r="AA562" s="335"/>
      <c r="AB562" s="335"/>
      <c r="AC562" s="327"/>
      <c r="AD562" s="327"/>
      <c r="AE562" s="327"/>
      <c r="AF562" s="327"/>
      <c r="AG562" s="327"/>
      <c r="AH562" s="327"/>
      <c r="AI562" s="327"/>
      <c r="AJ562" s="327"/>
      <c r="AK562" s="336"/>
      <c r="AL562" s="42"/>
    </row>
    <row r="563" spans="2:38" x14ac:dyDescent="0.25">
      <c r="B563" s="327"/>
      <c r="C563" s="327"/>
      <c r="D563" s="327"/>
      <c r="E563" s="327"/>
      <c r="F563" s="327"/>
      <c r="G563" s="327"/>
      <c r="H563" s="312"/>
      <c r="I563" s="327"/>
      <c r="J563" s="327"/>
      <c r="K563" s="334"/>
      <c r="L563" s="322"/>
      <c r="M563" s="322"/>
      <c r="N563" s="327"/>
      <c r="O563" s="327"/>
      <c r="P563" s="331"/>
      <c r="Q563" s="327"/>
      <c r="R563" s="276"/>
      <c r="S563" s="322"/>
      <c r="T563" s="322"/>
      <c r="U563" s="327"/>
      <c r="V563" s="335"/>
      <c r="W563" s="327"/>
      <c r="X563" s="327"/>
      <c r="Y563" s="327"/>
      <c r="Z563" s="107"/>
      <c r="AA563" s="335"/>
      <c r="AB563" s="335"/>
      <c r="AC563" s="327"/>
      <c r="AD563" s="327"/>
      <c r="AE563" s="327"/>
      <c r="AF563" s="327"/>
      <c r="AG563" s="327"/>
      <c r="AH563" s="327"/>
      <c r="AI563" s="327"/>
      <c r="AJ563" s="327"/>
      <c r="AK563" s="336"/>
      <c r="AL563" s="42"/>
    </row>
    <row r="564" spans="2:38" x14ac:dyDescent="0.25">
      <c r="B564" s="327"/>
      <c r="C564" s="327"/>
      <c r="D564" s="327"/>
      <c r="E564" s="327"/>
      <c r="F564" s="327"/>
      <c r="G564" s="327"/>
      <c r="H564" s="312"/>
      <c r="I564" s="327"/>
      <c r="J564" s="327"/>
      <c r="K564" s="334"/>
      <c r="L564" s="322"/>
      <c r="M564" s="322"/>
      <c r="N564" s="327"/>
      <c r="O564" s="327"/>
      <c r="P564" s="331"/>
      <c r="Q564" s="327"/>
      <c r="R564" s="276"/>
      <c r="S564" s="322"/>
      <c r="T564" s="322"/>
      <c r="U564" s="327"/>
      <c r="V564" s="335"/>
      <c r="W564" s="327"/>
      <c r="X564" s="327"/>
      <c r="Y564" s="327"/>
      <c r="Z564" s="107"/>
      <c r="AA564" s="335"/>
      <c r="AB564" s="335"/>
      <c r="AC564" s="327"/>
      <c r="AD564" s="327"/>
      <c r="AE564" s="327"/>
      <c r="AF564" s="327"/>
      <c r="AG564" s="327"/>
      <c r="AH564" s="327"/>
      <c r="AI564" s="327"/>
      <c r="AJ564" s="327"/>
      <c r="AK564" s="336"/>
      <c r="AL564" s="42"/>
    </row>
    <row r="565" spans="2:38" x14ac:dyDescent="0.25">
      <c r="B565" s="327"/>
      <c r="C565" s="327"/>
      <c r="D565" s="327"/>
      <c r="E565" s="327"/>
      <c r="F565" s="327"/>
      <c r="G565" s="327"/>
      <c r="H565" s="312"/>
      <c r="I565" s="327"/>
      <c r="J565" s="327"/>
      <c r="K565" s="334"/>
      <c r="L565" s="322"/>
      <c r="M565" s="322"/>
      <c r="N565" s="327"/>
      <c r="O565" s="327"/>
      <c r="P565" s="331"/>
      <c r="Q565" s="327"/>
      <c r="R565" s="276"/>
      <c r="S565" s="322"/>
      <c r="T565" s="322"/>
      <c r="U565" s="327"/>
      <c r="V565" s="335"/>
      <c r="W565" s="327"/>
      <c r="X565" s="327"/>
      <c r="Y565" s="327"/>
      <c r="Z565" s="107"/>
      <c r="AA565" s="335"/>
      <c r="AB565" s="335"/>
      <c r="AC565" s="327"/>
      <c r="AD565" s="327"/>
      <c r="AE565" s="327"/>
      <c r="AF565" s="327"/>
      <c r="AG565" s="327"/>
      <c r="AH565" s="327"/>
      <c r="AI565" s="327"/>
      <c r="AJ565" s="327"/>
      <c r="AK565" s="336"/>
      <c r="AL565" s="42"/>
    </row>
    <row r="566" spans="2:38" x14ac:dyDescent="0.25">
      <c r="B566" s="327"/>
      <c r="C566" s="327"/>
      <c r="D566" s="327"/>
      <c r="E566" s="327"/>
      <c r="F566" s="327"/>
      <c r="G566" s="327"/>
      <c r="H566" s="312"/>
      <c r="I566" s="327"/>
      <c r="J566" s="327"/>
      <c r="K566" s="334"/>
      <c r="L566" s="322"/>
      <c r="M566" s="322"/>
      <c r="N566" s="327"/>
      <c r="O566" s="327"/>
      <c r="P566" s="331"/>
      <c r="Q566" s="327"/>
      <c r="R566" s="276"/>
      <c r="S566" s="322"/>
      <c r="T566" s="322"/>
      <c r="U566" s="327"/>
      <c r="V566" s="335"/>
      <c r="W566" s="327"/>
      <c r="X566" s="327"/>
      <c r="Y566" s="327"/>
      <c r="Z566" s="107"/>
      <c r="AA566" s="335"/>
      <c r="AB566" s="335"/>
      <c r="AC566" s="327"/>
      <c r="AD566" s="327"/>
      <c r="AE566" s="327"/>
      <c r="AF566" s="327"/>
      <c r="AG566" s="327"/>
      <c r="AH566" s="327"/>
      <c r="AI566" s="327"/>
      <c r="AJ566" s="327"/>
      <c r="AK566" s="336"/>
      <c r="AL566" s="42"/>
    </row>
    <row r="567" spans="2:38" x14ac:dyDescent="0.25">
      <c r="B567" s="327"/>
      <c r="C567" s="327"/>
      <c r="D567" s="327"/>
      <c r="E567" s="327"/>
      <c r="F567" s="327"/>
      <c r="G567" s="327"/>
      <c r="H567" s="312"/>
      <c r="I567" s="327"/>
      <c r="J567" s="327"/>
      <c r="K567" s="334"/>
      <c r="L567" s="322"/>
      <c r="M567" s="322"/>
      <c r="N567" s="327"/>
      <c r="O567" s="327"/>
      <c r="P567" s="331"/>
      <c r="Q567" s="327"/>
      <c r="R567" s="276"/>
      <c r="S567" s="322"/>
      <c r="T567" s="322"/>
      <c r="U567" s="327"/>
      <c r="V567" s="335"/>
      <c r="W567" s="327"/>
      <c r="X567" s="327"/>
      <c r="Y567" s="327"/>
      <c r="Z567" s="107"/>
      <c r="AA567" s="335"/>
      <c r="AB567" s="335"/>
      <c r="AC567" s="327"/>
      <c r="AD567" s="327"/>
      <c r="AE567" s="327"/>
      <c r="AF567" s="327"/>
      <c r="AG567" s="327"/>
      <c r="AH567" s="327"/>
      <c r="AI567" s="327"/>
      <c r="AJ567" s="327"/>
      <c r="AK567" s="336"/>
      <c r="AL567" s="42"/>
    </row>
    <row r="568" spans="2:38" x14ac:dyDescent="0.25">
      <c r="B568" s="327"/>
      <c r="C568" s="327"/>
      <c r="D568" s="327"/>
      <c r="E568" s="327"/>
      <c r="F568" s="327"/>
      <c r="G568" s="327"/>
      <c r="H568" s="312"/>
      <c r="I568" s="327"/>
      <c r="J568" s="327"/>
      <c r="K568" s="334"/>
      <c r="L568" s="322"/>
      <c r="M568" s="322"/>
      <c r="N568" s="327"/>
      <c r="O568" s="327"/>
      <c r="P568" s="331"/>
      <c r="Q568" s="327"/>
      <c r="R568" s="276"/>
      <c r="S568" s="322"/>
      <c r="T568" s="322"/>
      <c r="U568" s="327"/>
      <c r="V568" s="335"/>
      <c r="W568" s="327"/>
      <c r="X568" s="327"/>
      <c r="Y568" s="327"/>
      <c r="Z568" s="107"/>
      <c r="AA568" s="335"/>
      <c r="AB568" s="335"/>
      <c r="AC568" s="327"/>
      <c r="AD568" s="327"/>
      <c r="AE568" s="327"/>
      <c r="AF568" s="327"/>
      <c r="AG568" s="327"/>
      <c r="AH568" s="327"/>
      <c r="AI568" s="327"/>
      <c r="AJ568" s="327"/>
      <c r="AK568" s="336"/>
      <c r="AL568" s="42"/>
    </row>
    <row r="569" spans="2:38" x14ac:dyDescent="0.25">
      <c r="B569" s="327"/>
      <c r="C569" s="327"/>
      <c r="D569" s="327"/>
      <c r="E569" s="327"/>
      <c r="F569" s="327"/>
      <c r="G569" s="327"/>
      <c r="H569" s="312"/>
      <c r="I569" s="327"/>
      <c r="J569" s="327"/>
      <c r="K569" s="334"/>
      <c r="L569" s="322"/>
      <c r="M569" s="322"/>
      <c r="N569" s="327"/>
      <c r="O569" s="327"/>
      <c r="P569" s="331"/>
      <c r="Q569" s="327"/>
      <c r="R569" s="276"/>
      <c r="S569" s="322"/>
      <c r="T569" s="322"/>
      <c r="U569" s="327"/>
      <c r="V569" s="335"/>
      <c r="W569" s="327"/>
      <c r="X569" s="327"/>
      <c r="Y569" s="327"/>
      <c r="Z569" s="107"/>
      <c r="AA569" s="335"/>
      <c r="AB569" s="335"/>
      <c r="AC569" s="327"/>
      <c r="AD569" s="327"/>
      <c r="AE569" s="327"/>
      <c r="AF569" s="327"/>
      <c r="AG569" s="327"/>
      <c r="AH569" s="327"/>
      <c r="AI569" s="327"/>
      <c r="AJ569" s="327"/>
      <c r="AK569" s="336"/>
      <c r="AL569" s="42"/>
    </row>
    <row r="570" spans="2:38" x14ac:dyDescent="0.25">
      <c r="B570" s="327"/>
      <c r="C570" s="327"/>
      <c r="D570" s="327"/>
      <c r="E570" s="327"/>
      <c r="F570" s="327"/>
      <c r="G570" s="327"/>
      <c r="H570" s="312"/>
      <c r="I570" s="327"/>
      <c r="J570" s="327"/>
      <c r="K570" s="334"/>
      <c r="L570" s="322"/>
      <c r="M570" s="322"/>
      <c r="N570" s="327"/>
      <c r="O570" s="327"/>
      <c r="P570" s="331"/>
      <c r="Q570" s="327"/>
      <c r="R570" s="276"/>
      <c r="S570" s="322"/>
      <c r="T570" s="322"/>
      <c r="U570" s="327"/>
      <c r="V570" s="335"/>
      <c r="W570" s="327"/>
      <c r="X570" s="327"/>
      <c r="Y570" s="327"/>
      <c r="Z570" s="107"/>
      <c r="AA570" s="335"/>
      <c r="AB570" s="335"/>
      <c r="AC570" s="327"/>
      <c r="AD570" s="327"/>
      <c r="AE570" s="327"/>
      <c r="AF570" s="327"/>
      <c r="AG570" s="327"/>
      <c r="AH570" s="327"/>
      <c r="AI570" s="327"/>
      <c r="AJ570" s="327"/>
      <c r="AK570" s="336"/>
      <c r="AL570" s="42"/>
    </row>
    <row r="571" spans="2:38" x14ac:dyDescent="0.25">
      <c r="B571" s="327"/>
      <c r="C571" s="327"/>
      <c r="D571" s="327"/>
      <c r="E571" s="327"/>
      <c r="F571" s="327"/>
      <c r="G571" s="327"/>
      <c r="H571" s="312"/>
      <c r="I571" s="327"/>
      <c r="J571" s="327"/>
      <c r="K571" s="334"/>
      <c r="L571" s="322"/>
      <c r="M571" s="322"/>
      <c r="N571" s="327"/>
      <c r="O571" s="327"/>
      <c r="P571" s="331"/>
      <c r="Q571" s="327"/>
      <c r="R571" s="276"/>
      <c r="S571" s="322"/>
      <c r="T571" s="322"/>
      <c r="U571" s="327"/>
      <c r="V571" s="335"/>
      <c r="W571" s="327"/>
      <c r="X571" s="327"/>
      <c r="Y571" s="327"/>
      <c r="Z571" s="107"/>
      <c r="AA571" s="335"/>
      <c r="AB571" s="335"/>
      <c r="AC571" s="327"/>
      <c r="AD571" s="327"/>
      <c r="AE571" s="327"/>
      <c r="AF571" s="327"/>
      <c r="AG571" s="327"/>
      <c r="AH571" s="327"/>
      <c r="AI571" s="327"/>
      <c r="AJ571" s="327"/>
      <c r="AK571" s="336"/>
      <c r="AL571" s="42"/>
    </row>
    <row r="572" spans="2:38" x14ac:dyDescent="0.25">
      <c r="B572" s="327"/>
      <c r="C572" s="327"/>
      <c r="D572" s="327"/>
      <c r="E572" s="327"/>
      <c r="F572" s="327"/>
      <c r="G572" s="327"/>
      <c r="H572" s="312"/>
      <c r="I572" s="327"/>
      <c r="J572" s="327"/>
      <c r="K572" s="334"/>
      <c r="L572" s="322"/>
      <c r="M572" s="322"/>
      <c r="N572" s="327"/>
      <c r="O572" s="327"/>
      <c r="P572" s="331"/>
      <c r="Q572" s="327"/>
      <c r="R572" s="276"/>
      <c r="S572" s="322"/>
      <c r="T572" s="322"/>
      <c r="U572" s="327"/>
      <c r="V572" s="335"/>
      <c r="W572" s="327"/>
      <c r="X572" s="327"/>
      <c r="Y572" s="327"/>
      <c r="Z572" s="107"/>
      <c r="AA572" s="335"/>
      <c r="AB572" s="335"/>
      <c r="AC572" s="327"/>
      <c r="AD572" s="327"/>
      <c r="AE572" s="327"/>
      <c r="AF572" s="327"/>
      <c r="AG572" s="327"/>
      <c r="AH572" s="327"/>
      <c r="AI572" s="327"/>
      <c r="AJ572" s="327"/>
      <c r="AK572" s="336"/>
      <c r="AL572" s="42"/>
    </row>
    <row r="573" spans="2:38" x14ac:dyDescent="0.25">
      <c r="B573" s="327"/>
      <c r="C573" s="327"/>
      <c r="D573" s="327"/>
      <c r="E573" s="327"/>
      <c r="F573" s="327"/>
      <c r="G573" s="327"/>
      <c r="H573" s="312"/>
      <c r="I573" s="327"/>
      <c r="J573" s="327"/>
      <c r="K573" s="334"/>
      <c r="L573" s="322"/>
      <c r="M573" s="322"/>
      <c r="N573" s="327"/>
      <c r="O573" s="327"/>
      <c r="P573" s="331"/>
      <c r="Q573" s="327"/>
      <c r="R573" s="276"/>
      <c r="S573" s="322"/>
      <c r="T573" s="322"/>
      <c r="U573" s="327"/>
      <c r="V573" s="335"/>
      <c r="W573" s="327"/>
      <c r="X573" s="327"/>
      <c r="Y573" s="327"/>
      <c r="Z573" s="107"/>
      <c r="AA573" s="335"/>
      <c r="AB573" s="335"/>
      <c r="AC573" s="327"/>
      <c r="AD573" s="327"/>
      <c r="AE573" s="327"/>
      <c r="AF573" s="327"/>
      <c r="AG573" s="327"/>
      <c r="AH573" s="327"/>
      <c r="AI573" s="327"/>
      <c r="AJ573" s="327"/>
      <c r="AK573" s="336"/>
      <c r="AL573" s="42"/>
    </row>
    <row r="574" spans="2:38" x14ac:dyDescent="0.25">
      <c r="B574" s="327"/>
      <c r="C574" s="327"/>
      <c r="D574" s="327"/>
      <c r="E574" s="327"/>
      <c r="F574" s="327"/>
      <c r="G574" s="327"/>
      <c r="H574" s="312"/>
      <c r="I574" s="327"/>
      <c r="J574" s="327"/>
      <c r="K574" s="334"/>
      <c r="L574" s="322"/>
      <c r="M574" s="322"/>
      <c r="N574" s="327"/>
      <c r="O574" s="327"/>
      <c r="P574" s="331"/>
      <c r="Q574" s="327"/>
      <c r="R574" s="276"/>
      <c r="S574" s="322"/>
      <c r="T574" s="322"/>
      <c r="U574" s="327"/>
      <c r="V574" s="335"/>
      <c r="W574" s="327"/>
      <c r="X574" s="327"/>
      <c r="Y574" s="327"/>
      <c r="Z574" s="107"/>
      <c r="AA574" s="335"/>
      <c r="AB574" s="335"/>
      <c r="AC574" s="327"/>
      <c r="AD574" s="327"/>
      <c r="AE574" s="327"/>
      <c r="AF574" s="327"/>
      <c r="AG574" s="327"/>
      <c r="AH574" s="327"/>
      <c r="AI574" s="327"/>
      <c r="AJ574" s="327"/>
      <c r="AK574" s="336"/>
      <c r="AL574" s="42"/>
    </row>
    <row r="575" spans="2:38" x14ac:dyDescent="0.25">
      <c r="B575" s="327"/>
      <c r="C575" s="327"/>
      <c r="D575" s="327"/>
      <c r="E575" s="327"/>
      <c r="F575" s="327"/>
      <c r="G575" s="327"/>
      <c r="H575" s="312"/>
      <c r="I575" s="327"/>
      <c r="J575" s="327"/>
      <c r="K575" s="334"/>
      <c r="L575" s="322"/>
      <c r="M575" s="322"/>
      <c r="N575" s="327"/>
      <c r="O575" s="327"/>
      <c r="P575" s="331"/>
      <c r="Q575" s="327"/>
      <c r="R575" s="276"/>
      <c r="S575" s="322"/>
      <c r="T575" s="322"/>
      <c r="U575" s="327"/>
      <c r="V575" s="335"/>
      <c r="W575" s="327"/>
      <c r="X575" s="327"/>
      <c r="Y575" s="327"/>
      <c r="Z575" s="107"/>
      <c r="AA575" s="335"/>
      <c r="AB575" s="335"/>
      <c r="AC575" s="327"/>
      <c r="AD575" s="327"/>
      <c r="AE575" s="327"/>
      <c r="AF575" s="327"/>
      <c r="AG575" s="327"/>
      <c r="AH575" s="327"/>
      <c r="AI575" s="327"/>
      <c r="AJ575" s="327"/>
      <c r="AK575" s="336"/>
      <c r="AL575" s="42"/>
    </row>
    <row r="576" spans="2:38" x14ac:dyDescent="0.25">
      <c r="B576" s="327"/>
      <c r="C576" s="327"/>
      <c r="D576" s="327"/>
      <c r="E576" s="327"/>
      <c r="F576" s="327"/>
      <c r="G576" s="327"/>
      <c r="H576" s="312"/>
      <c r="I576" s="327"/>
      <c r="J576" s="327"/>
      <c r="K576" s="334"/>
      <c r="L576" s="322"/>
      <c r="M576" s="322"/>
      <c r="N576" s="327"/>
      <c r="O576" s="327"/>
      <c r="P576" s="331"/>
      <c r="Q576" s="327"/>
      <c r="R576" s="276"/>
      <c r="S576" s="322"/>
      <c r="T576" s="322"/>
      <c r="U576" s="327"/>
      <c r="V576" s="335"/>
      <c r="W576" s="327"/>
      <c r="X576" s="327"/>
      <c r="Y576" s="327"/>
      <c r="Z576" s="107"/>
      <c r="AA576" s="335"/>
      <c r="AB576" s="335"/>
      <c r="AC576" s="327"/>
      <c r="AD576" s="327"/>
      <c r="AE576" s="327"/>
      <c r="AF576" s="327"/>
      <c r="AG576" s="327"/>
      <c r="AH576" s="327"/>
      <c r="AI576" s="327"/>
      <c r="AJ576" s="327"/>
      <c r="AK576" s="336"/>
      <c r="AL576" s="42"/>
    </row>
    <row r="577" spans="2:38" x14ac:dyDescent="0.25">
      <c r="B577" s="327"/>
      <c r="C577" s="327"/>
      <c r="D577" s="327"/>
      <c r="E577" s="327"/>
      <c r="F577" s="327"/>
      <c r="G577" s="327"/>
      <c r="H577" s="312"/>
      <c r="I577" s="327"/>
      <c r="J577" s="327"/>
      <c r="K577" s="334"/>
      <c r="L577" s="322"/>
      <c r="M577" s="322"/>
      <c r="N577" s="327"/>
      <c r="O577" s="327"/>
      <c r="P577" s="331"/>
      <c r="Q577" s="327"/>
      <c r="R577" s="276"/>
      <c r="S577" s="322"/>
      <c r="T577" s="322"/>
      <c r="U577" s="327"/>
      <c r="V577" s="335"/>
      <c r="W577" s="327"/>
      <c r="X577" s="327"/>
      <c r="Y577" s="327"/>
      <c r="Z577" s="107"/>
      <c r="AA577" s="335"/>
      <c r="AB577" s="335"/>
      <c r="AC577" s="327"/>
      <c r="AD577" s="327"/>
      <c r="AE577" s="327"/>
      <c r="AF577" s="327"/>
      <c r="AG577" s="327"/>
      <c r="AH577" s="327"/>
      <c r="AI577" s="327"/>
      <c r="AJ577" s="327"/>
      <c r="AK577" s="336"/>
      <c r="AL577" s="42"/>
    </row>
    <row r="578" spans="2:38" x14ac:dyDescent="0.25">
      <c r="B578" s="327"/>
      <c r="C578" s="327"/>
      <c r="D578" s="327"/>
      <c r="E578" s="327"/>
      <c r="F578" s="327"/>
      <c r="G578" s="327"/>
      <c r="H578" s="312"/>
      <c r="I578" s="327"/>
      <c r="J578" s="327"/>
      <c r="K578" s="334"/>
      <c r="L578" s="322"/>
      <c r="M578" s="322"/>
      <c r="N578" s="327"/>
      <c r="O578" s="327"/>
      <c r="P578" s="331"/>
      <c r="Q578" s="327"/>
      <c r="R578" s="276"/>
      <c r="S578" s="322"/>
      <c r="T578" s="322"/>
      <c r="U578" s="327"/>
      <c r="V578" s="335"/>
      <c r="W578" s="327"/>
      <c r="X578" s="327"/>
      <c r="Y578" s="327"/>
      <c r="Z578" s="107"/>
      <c r="AA578" s="335"/>
      <c r="AB578" s="335"/>
      <c r="AC578" s="327"/>
      <c r="AD578" s="327"/>
      <c r="AE578" s="327"/>
      <c r="AF578" s="327"/>
      <c r="AG578" s="327"/>
      <c r="AH578" s="327"/>
      <c r="AI578" s="327"/>
      <c r="AJ578" s="327"/>
      <c r="AK578" s="336"/>
      <c r="AL578" s="42"/>
    </row>
    <row r="579" spans="2:38" x14ac:dyDescent="0.25">
      <c r="B579" s="327"/>
      <c r="C579" s="327"/>
      <c r="D579" s="327"/>
      <c r="E579" s="327"/>
      <c r="F579" s="327"/>
      <c r="G579" s="327"/>
      <c r="H579" s="312"/>
      <c r="I579" s="327"/>
      <c r="J579" s="327"/>
      <c r="K579" s="334"/>
      <c r="L579" s="322"/>
      <c r="M579" s="322"/>
      <c r="N579" s="327"/>
      <c r="O579" s="327"/>
      <c r="P579" s="331"/>
      <c r="Q579" s="327"/>
      <c r="R579" s="276"/>
      <c r="S579" s="322"/>
      <c r="T579" s="322"/>
      <c r="U579" s="327"/>
      <c r="V579" s="335"/>
      <c r="W579" s="327"/>
      <c r="X579" s="327"/>
      <c r="Y579" s="327"/>
      <c r="Z579" s="107"/>
      <c r="AA579" s="335"/>
      <c r="AB579" s="335"/>
      <c r="AC579" s="327"/>
      <c r="AD579" s="327"/>
      <c r="AE579" s="327"/>
      <c r="AF579" s="327"/>
      <c r="AG579" s="327"/>
      <c r="AH579" s="327"/>
      <c r="AI579" s="327"/>
      <c r="AJ579" s="327"/>
      <c r="AK579" s="336"/>
      <c r="AL579" s="42"/>
    </row>
    <row r="580" spans="2:38" x14ac:dyDescent="0.25">
      <c r="B580" s="327"/>
      <c r="C580" s="327"/>
      <c r="D580" s="327"/>
      <c r="E580" s="327"/>
      <c r="F580" s="327"/>
      <c r="G580" s="327"/>
      <c r="H580" s="312"/>
      <c r="I580" s="327"/>
      <c r="J580" s="327"/>
      <c r="K580" s="334"/>
      <c r="L580" s="322"/>
      <c r="M580" s="322"/>
      <c r="N580" s="327"/>
      <c r="O580" s="327"/>
      <c r="P580" s="331"/>
      <c r="Q580" s="327"/>
      <c r="R580" s="276"/>
      <c r="S580" s="322"/>
      <c r="T580" s="322"/>
      <c r="U580" s="327"/>
      <c r="V580" s="335"/>
      <c r="W580" s="327"/>
      <c r="X580" s="327"/>
      <c r="Y580" s="327"/>
      <c r="Z580" s="107"/>
      <c r="AA580" s="335"/>
      <c r="AB580" s="335"/>
      <c r="AC580" s="327"/>
      <c r="AD580" s="327"/>
      <c r="AE580" s="327"/>
      <c r="AF580" s="327"/>
      <c r="AG580" s="327"/>
      <c r="AH580" s="327"/>
      <c r="AI580" s="327"/>
      <c r="AJ580" s="327"/>
      <c r="AK580" s="336"/>
      <c r="AL580" s="42"/>
    </row>
    <row r="581" spans="2:38" x14ac:dyDescent="0.25">
      <c r="B581" s="327"/>
      <c r="C581" s="327"/>
      <c r="D581" s="327"/>
      <c r="E581" s="327"/>
      <c r="F581" s="327"/>
      <c r="G581" s="327"/>
      <c r="H581" s="312"/>
      <c r="I581" s="327"/>
      <c r="J581" s="327"/>
      <c r="K581" s="334"/>
      <c r="L581" s="322"/>
      <c r="M581" s="322"/>
      <c r="N581" s="327"/>
      <c r="O581" s="327"/>
      <c r="P581" s="331"/>
      <c r="Q581" s="327"/>
      <c r="R581" s="276"/>
      <c r="S581" s="322"/>
      <c r="T581" s="322"/>
      <c r="U581" s="327"/>
      <c r="V581" s="335"/>
      <c r="W581" s="327"/>
      <c r="X581" s="327"/>
      <c r="Y581" s="327"/>
      <c r="Z581" s="107"/>
      <c r="AA581" s="335"/>
      <c r="AB581" s="335"/>
      <c r="AC581" s="327"/>
      <c r="AD581" s="327"/>
      <c r="AE581" s="327"/>
      <c r="AF581" s="327"/>
      <c r="AG581" s="327"/>
      <c r="AH581" s="327"/>
      <c r="AI581" s="327"/>
      <c r="AJ581" s="327"/>
      <c r="AK581" s="336"/>
      <c r="AL581" s="42"/>
    </row>
    <row r="582" spans="2:38" x14ac:dyDescent="0.25">
      <c r="B582" s="327"/>
      <c r="C582" s="327"/>
      <c r="D582" s="327"/>
      <c r="E582" s="327"/>
      <c r="F582" s="327"/>
      <c r="G582" s="327"/>
      <c r="H582" s="312"/>
      <c r="I582" s="327"/>
      <c r="J582" s="327"/>
      <c r="K582" s="334"/>
      <c r="L582" s="322"/>
      <c r="M582" s="322"/>
      <c r="N582" s="327"/>
      <c r="O582" s="327"/>
      <c r="P582" s="331"/>
      <c r="Q582" s="327"/>
      <c r="R582" s="276"/>
      <c r="S582" s="322"/>
      <c r="T582" s="322"/>
      <c r="U582" s="327"/>
      <c r="V582" s="335"/>
      <c r="W582" s="327"/>
      <c r="X582" s="327"/>
      <c r="Y582" s="327"/>
      <c r="Z582" s="107"/>
      <c r="AA582" s="335"/>
      <c r="AB582" s="335"/>
      <c r="AC582" s="327"/>
      <c r="AD582" s="327"/>
      <c r="AE582" s="327"/>
      <c r="AF582" s="327"/>
      <c r="AG582" s="327"/>
      <c r="AH582" s="327"/>
      <c r="AI582" s="327"/>
      <c r="AJ582" s="327"/>
      <c r="AK582" s="336"/>
      <c r="AL582" s="42"/>
    </row>
    <row r="583" spans="2:38" x14ac:dyDescent="0.25">
      <c r="B583" s="327"/>
      <c r="C583" s="327"/>
      <c r="D583" s="327"/>
      <c r="E583" s="327"/>
      <c r="F583" s="327"/>
      <c r="G583" s="327"/>
      <c r="H583" s="312"/>
      <c r="I583" s="327"/>
      <c r="J583" s="327"/>
      <c r="K583" s="334"/>
      <c r="L583" s="322"/>
      <c r="M583" s="322"/>
      <c r="N583" s="327"/>
      <c r="O583" s="327"/>
      <c r="P583" s="331"/>
      <c r="Q583" s="327"/>
      <c r="R583" s="276"/>
      <c r="S583" s="322"/>
      <c r="T583" s="322"/>
      <c r="U583" s="327"/>
      <c r="V583" s="335"/>
      <c r="W583" s="327"/>
      <c r="X583" s="327"/>
      <c r="Y583" s="327"/>
      <c r="Z583" s="107"/>
      <c r="AA583" s="335"/>
      <c r="AB583" s="335"/>
      <c r="AC583" s="327"/>
      <c r="AD583" s="327"/>
      <c r="AE583" s="327"/>
      <c r="AF583" s="327"/>
      <c r="AG583" s="327"/>
      <c r="AH583" s="327"/>
      <c r="AI583" s="327"/>
      <c r="AJ583" s="327"/>
      <c r="AK583" s="336"/>
      <c r="AL583" s="42"/>
    </row>
    <row r="584" spans="2:38" x14ac:dyDescent="0.25">
      <c r="B584" s="327"/>
      <c r="C584" s="327"/>
      <c r="D584" s="327"/>
      <c r="E584" s="327"/>
      <c r="F584" s="327"/>
      <c r="G584" s="327"/>
      <c r="H584" s="312"/>
      <c r="I584" s="327"/>
      <c r="J584" s="327"/>
      <c r="K584" s="334"/>
      <c r="L584" s="322"/>
      <c r="M584" s="322"/>
      <c r="N584" s="327"/>
      <c r="O584" s="327"/>
      <c r="P584" s="331"/>
      <c r="Q584" s="327"/>
      <c r="R584" s="276"/>
      <c r="S584" s="322"/>
      <c r="T584" s="322"/>
      <c r="U584" s="327"/>
      <c r="V584" s="335"/>
      <c r="W584" s="327"/>
      <c r="X584" s="327"/>
      <c r="Y584" s="327"/>
      <c r="Z584" s="107"/>
      <c r="AA584" s="335"/>
      <c r="AB584" s="335"/>
      <c r="AC584" s="327"/>
      <c r="AD584" s="327"/>
      <c r="AE584" s="327"/>
      <c r="AF584" s="327"/>
      <c r="AG584" s="327"/>
      <c r="AH584" s="327"/>
      <c r="AI584" s="327"/>
      <c r="AJ584" s="327"/>
      <c r="AK584" s="336"/>
      <c r="AL584" s="42"/>
    </row>
    <row r="585" spans="2:38" x14ac:dyDescent="0.25">
      <c r="B585" s="327"/>
      <c r="C585" s="327"/>
      <c r="D585" s="327"/>
      <c r="E585" s="327"/>
      <c r="F585" s="327"/>
      <c r="G585" s="327"/>
      <c r="H585" s="312"/>
      <c r="I585" s="327"/>
      <c r="J585" s="327"/>
      <c r="K585" s="334"/>
      <c r="L585" s="322"/>
      <c r="M585" s="322"/>
      <c r="N585" s="327"/>
      <c r="O585" s="327"/>
      <c r="P585" s="331"/>
      <c r="Q585" s="327"/>
      <c r="R585" s="276"/>
      <c r="S585" s="322"/>
      <c r="T585" s="322"/>
      <c r="U585" s="327"/>
      <c r="V585" s="335"/>
      <c r="W585" s="327"/>
      <c r="X585" s="327"/>
      <c r="Y585" s="327"/>
      <c r="Z585" s="107"/>
      <c r="AA585" s="335"/>
      <c r="AB585" s="335"/>
      <c r="AC585" s="327"/>
      <c r="AD585" s="327"/>
      <c r="AE585" s="327"/>
      <c r="AF585" s="327"/>
      <c r="AG585" s="327"/>
      <c r="AH585" s="327"/>
      <c r="AI585" s="327"/>
      <c r="AJ585" s="327"/>
      <c r="AK585" s="336"/>
      <c r="AL585" s="42"/>
    </row>
    <row r="586" spans="2:38" x14ac:dyDescent="0.25">
      <c r="B586" s="327"/>
      <c r="C586" s="327"/>
      <c r="D586" s="327"/>
      <c r="E586" s="327"/>
      <c r="F586" s="327"/>
      <c r="G586" s="327"/>
      <c r="H586" s="312"/>
      <c r="I586" s="327"/>
      <c r="J586" s="327"/>
      <c r="K586" s="334"/>
      <c r="L586" s="322"/>
      <c r="M586" s="322"/>
      <c r="N586" s="327"/>
      <c r="O586" s="327"/>
      <c r="P586" s="331"/>
      <c r="Q586" s="327"/>
      <c r="R586" s="276"/>
      <c r="S586" s="322"/>
      <c r="T586" s="322"/>
      <c r="U586" s="327"/>
      <c r="V586" s="335"/>
      <c r="W586" s="327"/>
      <c r="X586" s="327"/>
      <c r="Y586" s="327"/>
      <c r="Z586" s="107"/>
      <c r="AA586" s="335"/>
      <c r="AB586" s="335"/>
      <c r="AC586" s="327"/>
      <c r="AD586" s="327"/>
      <c r="AE586" s="327"/>
      <c r="AF586" s="327"/>
      <c r="AG586" s="327"/>
      <c r="AH586" s="327"/>
      <c r="AI586" s="327"/>
      <c r="AJ586" s="327"/>
      <c r="AK586" s="336"/>
      <c r="AL586" s="42"/>
    </row>
    <row r="587" spans="2:38" x14ac:dyDescent="0.25">
      <c r="B587" s="327"/>
      <c r="C587" s="327"/>
      <c r="D587" s="327"/>
      <c r="E587" s="327"/>
      <c r="F587" s="327"/>
      <c r="G587" s="327"/>
      <c r="H587" s="312"/>
      <c r="I587" s="327"/>
      <c r="J587" s="327"/>
      <c r="K587" s="334"/>
      <c r="L587" s="322"/>
      <c r="M587" s="322"/>
      <c r="N587" s="327"/>
      <c r="O587" s="327"/>
      <c r="P587" s="331"/>
      <c r="Q587" s="327"/>
      <c r="R587" s="276"/>
      <c r="S587" s="322"/>
      <c r="T587" s="322"/>
      <c r="U587" s="327"/>
      <c r="V587" s="335"/>
      <c r="W587" s="327"/>
      <c r="X587" s="327"/>
      <c r="Y587" s="327"/>
      <c r="Z587" s="107"/>
      <c r="AA587" s="335"/>
      <c r="AB587" s="335"/>
      <c r="AC587" s="327"/>
      <c r="AD587" s="327"/>
      <c r="AE587" s="327"/>
      <c r="AF587" s="327"/>
      <c r="AG587" s="327"/>
      <c r="AH587" s="327"/>
      <c r="AI587" s="327"/>
      <c r="AJ587" s="327"/>
      <c r="AK587" s="336"/>
      <c r="AL587" s="42"/>
    </row>
    <row r="588" spans="2:38" x14ac:dyDescent="0.25">
      <c r="B588" s="327"/>
      <c r="C588" s="327"/>
      <c r="D588" s="327"/>
      <c r="E588" s="327"/>
      <c r="F588" s="327"/>
      <c r="G588" s="327"/>
      <c r="H588" s="312"/>
      <c r="I588" s="327"/>
      <c r="J588" s="327"/>
      <c r="K588" s="334"/>
      <c r="L588" s="322"/>
      <c r="M588" s="322"/>
      <c r="N588" s="327"/>
      <c r="O588" s="327"/>
      <c r="P588" s="331"/>
      <c r="Q588" s="327"/>
      <c r="R588" s="276"/>
      <c r="S588" s="322"/>
      <c r="T588" s="322"/>
      <c r="U588" s="327"/>
      <c r="V588" s="335"/>
      <c r="W588" s="327"/>
      <c r="X588" s="327"/>
      <c r="Y588" s="327"/>
      <c r="Z588" s="107"/>
      <c r="AA588" s="335"/>
      <c r="AB588" s="335"/>
      <c r="AC588" s="327"/>
      <c r="AD588" s="327"/>
      <c r="AE588" s="327"/>
      <c r="AF588" s="327"/>
      <c r="AG588" s="327"/>
      <c r="AH588" s="327"/>
      <c r="AI588" s="327"/>
      <c r="AJ588" s="327"/>
      <c r="AK588" s="336"/>
      <c r="AL588" s="42"/>
    </row>
    <row r="589" spans="2:38" x14ac:dyDescent="0.25">
      <c r="B589" s="327"/>
      <c r="C589" s="327"/>
      <c r="D589" s="327"/>
      <c r="E589" s="327"/>
      <c r="F589" s="327"/>
      <c r="G589" s="327"/>
      <c r="H589" s="312"/>
      <c r="I589" s="327"/>
      <c r="J589" s="327"/>
      <c r="K589" s="334"/>
      <c r="L589" s="322"/>
      <c r="M589" s="322"/>
      <c r="N589" s="327"/>
      <c r="O589" s="327"/>
      <c r="P589" s="331"/>
      <c r="Q589" s="327"/>
      <c r="R589" s="276"/>
      <c r="S589" s="322"/>
      <c r="T589" s="322"/>
      <c r="U589" s="327"/>
      <c r="V589" s="335"/>
      <c r="W589" s="327"/>
      <c r="X589" s="327"/>
      <c r="Y589" s="327"/>
      <c r="Z589" s="107"/>
      <c r="AA589" s="335"/>
      <c r="AB589" s="335"/>
      <c r="AC589" s="327"/>
      <c r="AD589" s="327"/>
      <c r="AE589" s="327"/>
      <c r="AF589" s="327"/>
      <c r="AG589" s="327"/>
      <c r="AH589" s="327"/>
      <c r="AI589" s="327"/>
      <c r="AJ589" s="327"/>
      <c r="AK589" s="336"/>
      <c r="AL589" s="42"/>
    </row>
    <row r="590" spans="2:38" x14ac:dyDescent="0.25">
      <c r="B590" s="327"/>
      <c r="C590" s="327"/>
      <c r="D590" s="327"/>
      <c r="E590" s="327"/>
      <c r="F590" s="327"/>
      <c r="G590" s="327"/>
      <c r="H590" s="312"/>
      <c r="I590" s="327"/>
      <c r="J590" s="327"/>
      <c r="K590" s="334"/>
      <c r="L590" s="322"/>
      <c r="M590" s="322"/>
      <c r="N590" s="327"/>
      <c r="O590" s="327"/>
      <c r="P590" s="331"/>
      <c r="Q590" s="327"/>
      <c r="R590" s="276"/>
      <c r="S590" s="322"/>
      <c r="T590" s="322"/>
      <c r="U590" s="327"/>
      <c r="V590" s="335"/>
      <c r="W590" s="327"/>
      <c r="X590" s="327"/>
      <c r="Y590" s="327"/>
      <c r="Z590" s="107"/>
      <c r="AA590" s="335"/>
      <c r="AB590" s="335"/>
      <c r="AC590" s="327"/>
      <c r="AD590" s="327"/>
      <c r="AE590" s="327"/>
      <c r="AF590" s="327"/>
      <c r="AG590" s="327"/>
      <c r="AH590" s="327"/>
      <c r="AI590" s="327"/>
      <c r="AJ590" s="327"/>
      <c r="AK590" s="336"/>
      <c r="AL590" s="42"/>
    </row>
    <row r="591" spans="2:38" x14ac:dyDescent="0.25">
      <c r="B591" s="327"/>
      <c r="C591" s="327"/>
      <c r="D591" s="327"/>
      <c r="E591" s="327"/>
      <c r="F591" s="327"/>
      <c r="G591" s="327"/>
      <c r="H591" s="312"/>
      <c r="I591" s="327"/>
      <c r="J591" s="327"/>
      <c r="K591" s="334"/>
      <c r="L591" s="322"/>
      <c r="M591" s="322"/>
      <c r="N591" s="327"/>
      <c r="O591" s="327"/>
      <c r="P591" s="331"/>
      <c r="Q591" s="327"/>
      <c r="R591" s="276"/>
      <c r="S591" s="322"/>
      <c r="T591" s="322"/>
      <c r="U591" s="327"/>
      <c r="V591" s="335"/>
      <c r="W591" s="327"/>
      <c r="X591" s="327"/>
      <c r="Y591" s="327"/>
      <c r="Z591" s="107"/>
      <c r="AA591" s="335"/>
      <c r="AB591" s="335"/>
      <c r="AC591" s="327"/>
      <c r="AD591" s="327"/>
      <c r="AE591" s="327"/>
      <c r="AF591" s="327"/>
      <c r="AG591" s="327"/>
      <c r="AH591" s="327"/>
      <c r="AI591" s="327"/>
      <c r="AJ591" s="327"/>
      <c r="AK591" s="336"/>
      <c r="AL591" s="42"/>
    </row>
    <row r="592" spans="2:38" x14ac:dyDescent="0.25">
      <c r="B592" s="327"/>
      <c r="C592" s="327"/>
      <c r="D592" s="327"/>
      <c r="E592" s="327"/>
      <c r="F592" s="327"/>
      <c r="G592" s="327"/>
      <c r="H592" s="312"/>
      <c r="I592" s="327"/>
      <c r="J592" s="327"/>
      <c r="K592" s="334"/>
      <c r="L592" s="322"/>
      <c r="M592" s="322"/>
      <c r="N592" s="327"/>
      <c r="O592" s="327"/>
      <c r="P592" s="331"/>
      <c r="Q592" s="327"/>
      <c r="R592" s="276"/>
      <c r="S592" s="322"/>
      <c r="T592" s="322"/>
      <c r="U592" s="327"/>
      <c r="V592" s="335"/>
      <c r="W592" s="327"/>
      <c r="X592" s="327"/>
      <c r="Y592" s="327"/>
      <c r="Z592" s="107"/>
      <c r="AA592" s="335"/>
      <c r="AB592" s="335"/>
      <c r="AC592" s="327"/>
      <c r="AD592" s="327"/>
      <c r="AE592" s="327"/>
      <c r="AF592" s="327"/>
      <c r="AG592" s="327"/>
      <c r="AH592" s="327"/>
      <c r="AI592" s="327"/>
      <c r="AJ592" s="327"/>
      <c r="AK592" s="336"/>
      <c r="AL592" s="42"/>
    </row>
    <row r="593" spans="2:38" x14ac:dyDescent="0.25">
      <c r="B593" s="327"/>
      <c r="C593" s="327"/>
      <c r="D593" s="327"/>
      <c r="E593" s="327"/>
      <c r="F593" s="327"/>
      <c r="G593" s="327"/>
      <c r="H593" s="312"/>
      <c r="I593" s="327"/>
      <c r="J593" s="327"/>
      <c r="K593" s="334"/>
      <c r="L593" s="322"/>
      <c r="M593" s="322"/>
      <c r="N593" s="327"/>
      <c r="O593" s="327"/>
      <c r="P593" s="331"/>
      <c r="Q593" s="327"/>
      <c r="R593" s="276"/>
      <c r="S593" s="322"/>
      <c r="T593" s="322"/>
      <c r="U593" s="327"/>
      <c r="V593" s="335"/>
      <c r="W593" s="327"/>
      <c r="X593" s="327"/>
      <c r="Y593" s="327"/>
      <c r="Z593" s="107"/>
      <c r="AA593" s="335"/>
      <c r="AB593" s="335"/>
      <c r="AC593" s="327"/>
      <c r="AD593" s="327"/>
      <c r="AE593" s="327"/>
      <c r="AF593" s="327"/>
      <c r="AG593" s="327"/>
      <c r="AH593" s="327"/>
      <c r="AI593" s="327"/>
      <c r="AJ593" s="327"/>
      <c r="AK593" s="336"/>
      <c r="AL593" s="42"/>
    </row>
    <row r="594" spans="2:38" x14ac:dyDescent="0.25">
      <c r="B594" s="327"/>
      <c r="C594" s="327"/>
      <c r="D594" s="327"/>
      <c r="E594" s="327"/>
      <c r="F594" s="327"/>
      <c r="G594" s="327"/>
      <c r="H594" s="312"/>
      <c r="I594" s="327"/>
      <c r="J594" s="327"/>
      <c r="K594" s="334"/>
      <c r="L594" s="322"/>
      <c r="M594" s="322"/>
      <c r="N594" s="327"/>
      <c r="O594" s="327"/>
      <c r="P594" s="331"/>
      <c r="Q594" s="327"/>
      <c r="R594" s="276"/>
      <c r="S594" s="322"/>
      <c r="T594" s="322"/>
      <c r="U594" s="327"/>
      <c r="V594" s="335"/>
      <c r="W594" s="327"/>
      <c r="X594" s="327"/>
      <c r="Y594" s="327"/>
      <c r="Z594" s="107"/>
      <c r="AA594" s="335"/>
      <c r="AB594" s="335"/>
      <c r="AC594" s="327"/>
      <c r="AD594" s="327"/>
      <c r="AE594" s="327"/>
      <c r="AF594" s="327"/>
      <c r="AG594" s="327"/>
      <c r="AH594" s="327"/>
      <c r="AI594" s="327"/>
      <c r="AJ594" s="327"/>
      <c r="AK594" s="336"/>
      <c r="AL594" s="42"/>
    </row>
    <row r="595" spans="2:38" x14ac:dyDescent="0.25">
      <c r="B595" s="327"/>
      <c r="C595" s="327"/>
      <c r="D595" s="327"/>
      <c r="E595" s="327"/>
      <c r="F595" s="327"/>
      <c r="G595" s="327"/>
      <c r="H595" s="312"/>
      <c r="I595" s="327"/>
      <c r="J595" s="327"/>
      <c r="K595" s="334"/>
      <c r="L595" s="322"/>
      <c r="M595" s="322"/>
      <c r="N595" s="327"/>
      <c r="O595" s="327"/>
      <c r="P595" s="331"/>
      <c r="Q595" s="327"/>
      <c r="R595" s="276"/>
      <c r="S595" s="322"/>
      <c r="T595" s="322"/>
      <c r="U595" s="327"/>
      <c r="V595" s="335"/>
      <c r="W595" s="327"/>
      <c r="X595" s="327"/>
      <c r="Y595" s="327"/>
      <c r="Z595" s="107"/>
      <c r="AA595" s="335"/>
      <c r="AB595" s="335"/>
      <c r="AC595" s="327"/>
      <c r="AD595" s="327"/>
      <c r="AE595" s="327"/>
      <c r="AF595" s="327"/>
      <c r="AG595" s="327"/>
      <c r="AH595" s="327"/>
      <c r="AI595" s="327"/>
      <c r="AJ595" s="327"/>
      <c r="AK595" s="336"/>
      <c r="AL595" s="42"/>
    </row>
    <row r="596" spans="2:38" x14ac:dyDescent="0.25">
      <c r="B596" s="327"/>
      <c r="C596" s="327"/>
      <c r="D596" s="327"/>
      <c r="E596" s="327"/>
      <c r="F596" s="327"/>
      <c r="G596" s="327"/>
      <c r="H596" s="312"/>
      <c r="I596" s="327"/>
      <c r="J596" s="327"/>
      <c r="K596" s="334"/>
      <c r="L596" s="322"/>
      <c r="M596" s="322"/>
      <c r="N596" s="327"/>
      <c r="O596" s="327"/>
      <c r="P596" s="331"/>
      <c r="Q596" s="327"/>
      <c r="R596" s="276"/>
      <c r="S596" s="322"/>
      <c r="T596" s="322"/>
      <c r="U596" s="327"/>
      <c r="V596" s="335"/>
      <c r="W596" s="327"/>
      <c r="X596" s="327"/>
      <c r="Y596" s="327"/>
      <c r="Z596" s="107"/>
      <c r="AA596" s="335"/>
      <c r="AB596" s="335"/>
      <c r="AC596" s="327"/>
      <c r="AD596" s="327"/>
      <c r="AE596" s="327"/>
      <c r="AF596" s="327"/>
      <c r="AG596" s="327"/>
      <c r="AH596" s="327"/>
      <c r="AI596" s="327"/>
      <c r="AJ596" s="327"/>
      <c r="AK596" s="336"/>
      <c r="AL596" s="42"/>
    </row>
    <row r="597" spans="2:38" x14ac:dyDescent="0.25">
      <c r="B597" s="327"/>
      <c r="C597" s="327"/>
      <c r="D597" s="327"/>
      <c r="E597" s="327"/>
      <c r="F597" s="327"/>
      <c r="G597" s="327"/>
      <c r="H597" s="312"/>
      <c r="I597" s="327"/>
      <c r="J597" s="327"/>
      <c r="K597" s="334"/>
      <c r="L597" s="322"/>
      <c r="M597" s="322"/>
      <c r="N597" s="327"/>
      <c r="O597" s="327"/>
      <c r="P597" s="331"/>
      <c r="Q597" s="327"/>
      <c r="R597" s="276"/>
      <c r="S597" s="322"/>
      <c r="T597" s="322"/>
      <c r="U597" s="327"/>
      <c r="V597" s="335"/>
      <c r="W597" s="327"/>
      <c r="X597" s="327"/>
      <c r="Y597" s="327"/>
      <c r="Z597" s="107"/>
      <c r="AA597" s="335"/>
      <c r="AB597" s="335"/>
      <c r="AC597" s="327"/>
      <c r="AD597" s="327"/>
      <c r="AE597" s="327"/>
      <c r="AF597" s="327"/>
      <c r="AG597" s="327"/>
      <c r="AH597" s="327"/>
      <c r="AI597" s="327"/>
      <c r="AJ597" s="327"/>
      <c r="AK597" s="336"/>
      <c r="AL597" s="42"/>
    </row>
    <row r="598" spans="2:38" x14ac:dyDescent="0.25">
      <c r="B598" s="327"/>
      <c r="C598" s="327"/>
      <c r="D598" s="327"/>
      <c r="E598" s="327"/>
      <c r="F598" s="327"/>
      <c r="G598" s="327"/>
      <c r="H598" s="312"/>
      <c r="I598" s="327"/>
      <c r="J598" s="327"/>
      <c r="K598" s="334"/>
      <c r="L598" s="322"/>
      <c r="M598" s="322"/>
      <c r="N598" s="327"/>
      <c r="O598" s="327"/>
      <c r="P598" s="331"/>
      <c r="Q598" s="327"/>
      <c r="R598" s="276"/>
      <c r="S598" s="322"/>
      <c r="T598" s="322"/>
      <c r="U598" s="327"/>
      <c r="V598" s="335"/>
      <c r="W598" s="327"/>
      <c r="X598" s="327"/>
      <c r="Y598" s="327"/>
      <c r="Z598" s="107"/>
      <c r="AA598" s="335"/>
      <c r="AB598" s="335"/>
      <c r="AC598" s="327"/>
      <c r="AD598" s="327"/>
      <c r="AE598" s="327"/>
      <c r="AF598" s="327"/>
      <c r="AG598" s="327"/>
      <c r="AH598" s="327"/>
      <c r="AI598" s="327"/>
      <c r="AJ598" s="327"/>
      <c r="AK598" s="336"/>
      <c r="AL598" s="42"/>
    </row>
    <row r="599" spans="2:38" x14ac:dyDescent="0.25">
      <c r="B599" s="327"/>
      <c r="C599" s="327"/>
      <c r="D599" s="327"/>
      <c r="E599" s="327"/>
      <c r="F599" s="327"/>
      <c r="G599" s="327"/>
      <c r="H599" s="312"/>
      <c r="I599" s="327"/>
      <c r="J599" s="327"/>
      <c r="K599" s="334"/>
      <c r="L599" s="322"/>
      <c r="M599" s="322"/>
      <c r="N599" s="327"/>
      <c r="O599" s="327"/>
      <c r="P599" s="331"/>
      <c r="Q599" s="327"/>
      <c r="R599" s="276"/>
      <c r="S599" s="322"/>
      <c r="T599" s="322"/>
      <c r="U599" s="327"/>
      <c r="V599" s="335"/>
      <c r="W599" s="327"/>
      <c r="X599" s="327"/>
      <c r="Y599" s="327"/>
      <c r="Z599" s="107"/>
      <c r="AA599" s="335"/>
      <c r="AB599" s="335"/>
      <c r="AC599" s="327"/>
      <c r="AD599" s="327"/>
      <c r="AE599" s="327"/>
      <c r="AF599" s="327"/>
      <c r="AG599" s="327"/>
      <c r="AH599" s="327"/>
      <c r="AI599" s="327"/>
      <c r="AJ599" s="327"/>
      <c r="AK599" s="336"/>
      <c r="AL599" s="42"/>
    </row>
    <row r="600" spans="2:38" x14ac:dyDescent="0.25">
      <c r="B600" s="327"/>
      <c r="C600" s="327"/>
      <c r="D600" s="327"/>
      <c r="E600" s="327"/>
      <c r="F600" s="327"/>
      <c r="G600" s="327"/>
      <c r="H600" s="312"/>
      <c r="I600" s="327"/>
      <c r="J600" s="327"/>
      <c r="K600" s="334"/>
      <c r="L600" s="322"/>
      <c r="M600" s="322"/>
      <c r="N600" s="327"/>
      <c r="O600" s="327"/>
      <c r="P600" s="331"/>
      <c r="Q600" s="327"/>
      <c r="R600" s="276"/>
      <c r="S600" s="322"/>
      <c r="T600" s="322"/>
      <c r="U600" s="327"/>
      <c r="V600" s="335"/>
      <c r="W600" s="327"/>
      <c r="X600" s="327"/>
      <c r="Y600" s="327"/>
      <c r="Z600" s="107"/>
      <c r="AA600" s="335"/>
      <c r="AB600" s="335"/>
      <c r="AC600" s="327"/>
      <c r="AD600" s="327"/>
      <c r="AE600" s="327"/>
      <c r="AF600" s="327"/>
      <c r="AG600" s="327"/>
      <c r="AH600" s="327"/>
      <c r="AI600" s="327"/>
      <c r="AJ600" s="327"/>
      <c r="AK600" s="336"/>
      <c r="AL600" s="42"/>
    </row>
    <row r="601" spans="2:38" x14ac:dyDescent="0.25">
      <c r="B601" s="327"/>
      <c r="C601" s="327"/>
      <c r="D601" s="327"/>
      <c r="E601" s="327"/>
      <c r="F601" s="327"/>
      <c r="G601" s="327"/>
      <c r="H601" s="312"/>
      <c r="I601" s="327"/>
      <c r="J601" s="327"/>
      <c r="K601" s="334"/>
      <c r="L601" s="322"/>
      <c r="M601" s="322"/>
      <c r="N601" s="327"/>
      <c r="O601" s="327"/>
      <c r="P601" s="331"/>
      <c r="Q601" s="327"/>
      <c r="R601" s="276"/>
      <c r="S601" s="322"/>
      <c r="T601" s="322"/>
      <c r="U601" s="327"/>
      <c r="V601" s="335"/>
      <c r="W601" s="327"/>
      <c r="X601" s="327"/>
      <c r="Y601" s="327"/>
      <c r="Z601" s="107"/>
      <c r="AA601" s="335"/>
      <c r="AB601" s="335"/>
      <c r="AC601" s="327"/>
      <c r="AD601" s="327"/>
      <c r="AE601" s="327"/>
      <c r="AF601" s="327"/>
      <c r="AG601" s="327"/>
      <c r="AH601" s="327"/>
      <c r="AI601" s="327"/>
      <c r="AJ601" s="327"/>
      <c r="AK601" s="336"/>
      <c r="AL601" s="42"/>
    </row>
    <row r="602" spans="2:38" x14ac:dyDescent="0.25">
      <c r="B602" s="327"/>
      <c r="C602" s="327"/>
      <c r="D602" s="327"/>
      <c r="E602" s="327"/>
      <c r="F602" s="327"/>
      <c r="G602" s="327"/>
      <c r="H602" s="312"/>
      <c r="I602" s="327"/>
      <c r="J602" s="327"/>
      <c r="K602" s="334"/>
      <c r="L602" s="322"/>
      <c r="M602" s="322"/>
      <c r="N602" s="327"/>
      <c r="O602" s="327"/>
      <c r="P602" s="331"/>
      <c r="Q602" s="327"/>
      <c r="R602" s="276"/>
      <c r="S602" s="322"/>
      <c r="T602" s="322"/>
      <c r="U602" s="327"/>
      <c r="V602" s="335"/>
      <c r="W602" s="327"/>
      <c r="X602" s="327"/>
      <c r="Y602" s="327"/>
      <c r="Z602" s="107"/>
      <c r="AA602" s="335"/>
      <c r="AB602" s="335"/>
      <c r="AC602" s="327"/>
      <c r="AD602" s="327"/>
      <c r="AE602" s="327"/>
      <c r="AF602" s="327"/>
      <c r="AG602" s="327"/>
      <c r="AH602" s="327"/>
      <c r="AI602" s="327"/>
      <c r="AJ602" s="327"/>
      <c r="AK602" s="336"/>
      <c r="AL602" s="42"/>
    </row>
    <row r="603" spans="2:38" x14ac:dyDescent="0.25">
      <c r="B603" s="327"/>
      <c r="C603" s="327"/>
      <c r="D603" s="327"/>
      <c r="E603" s="327"/>
      <c r="F603" s="327"/>
      <c r="G603" s="327"/>
      <c r="H603" s="312"/>
      <c r="I603" s="327"/>
      <c r="J603" s="327"/>
      <c r="K603" s="334"/>
      <c r="L603" s="322"/>
      <c r="M603" s="322"/>
      <c r="N603" s="327"/>
      <c r="O603" s="327"/>
      <c r="P603" s="331"/>
      <c r="Q603" s="327"/>
      <c r="R603" s="276"/>
      <c r="S603" s="322"/>
      <c r="T603" s="322"/>
      <c r="U603" s="327"/>
      <c r="V603" s="335"/>
      <c r="W603" s="327"/>
      <c r="X603" s="327"/>
      <c r="Y603" s="327"/>
      <c r="Z603" s="107"/>
      <c r="AA603" s="335"/>
      <c r="AB603" s="335"/>
      <c r="AC603" s="327"/>
      <c r="AD603" s="327"/>
      <c r="AE603" s="327"/>
      <c r="AF603" s="327"/>
      <c r="AG603" s="327"/>
      <c r="AH603" s="327"/>
      <c r="AI603" s="327"/>
      <c r="AJ603" s="327"/>
      <c r="AK603" s="336"/>
      <c r="AL603" s="42"/>
    </row>
    <row r="604" spans="2:38" x14ac:dyDescent="0.25">
      <c r="B604" s="327"/>
      <c r="C604" s="327"/>
      <c r="D604" s="327"/>
      <c r="E604" s="327"/>
      <c r="F604" s="327"/>
      <c r="G604" s="327"/>
      <c r="H604" s="312"/>
      <c r="I604" s="327"/>
      <c r="J604" s="327"/>
      <c r="K604" s="334"/>
      <c r="L604" s="322"/>
      <c r="M604" s="322"/>
      <c r="N604" s="327"/>
      <c r="O604" s="327"/>
      <c r="P604" s="331"/>
      <c r="Q604" s="327"/>
      <c r="R604" s="276"/>
      <c r="S604" s="322"/>
      <c r="T604" s="322"/>
      <c r="U604" s="327"/>
      <c r="V604" s="335"/>
      <c r="W604" s="327"/>
      <c r="X604" s="327"/>
      <c r="Y604" s="327"/>
      <c r="Z604" s="107"/>
      <c r="AA604" s="335"/>
      <c r="AB604" s="335"/>
      <c r="AC604" s="327"/>
      <c r="AD604" s="327"/>
      <c r="AE604" s="327"/>
      <c r="AF604" s="327"/>
      <c r="AG604" s="327"/>
      <c r="AH604" s="327"/>
      <c r="AI604" s="327"/>
      <c r="AJ604" s="327"/>
      <c r="AK604" s="336"/>
      <c r="AL604" s="42"/>
    </row>
    <row r="605" spans="2:38" x14ac:dyDescent="0.25">
      <c r="B605" s="327"/>
      <c r="C605" s="327"/>
      <c r="D605" s="327"/>
      <c r="E605" s="327"/>
      <c r="F605" s="327"/>
      <c r="G605" s="327"/>
      <c r="H605" s="312"/>
      <c r="I605" s="327"/>
      <c r="J605" s="327"/>
      <c r="K605" s="334"/>
      <c r="L605" s="322"/>
      <c r="M605" s="322"/>
      <c r="N605" s="327"/>
      <c r="O605" s="327"/>
      <c r="P605" s="331"/>
      <c r="Q605" s="327"/>
      <c r="R605" s="276"/>
      <c r="S605" s="322"/>
      <c r="T605" s="322"/>
      <c r="U605" s="327"/>
      <c r="V605" s="335"/>
      <c r="W605" s="327"/>
      <c r="X605" s="327"/>
      <c r="Y605" s="327"/>
      <c r="Z605" s="107"/>
      <c r="AA605" s="335"/>
      <c r="AB605" s="335"/>
      <c r="AC605" s="327"/>
      <c r="AD605" s="327"/>
      <c r="AE605" s="327"/>
      <c r="AF605" s="327"/>
      <c r="AG605" s="327"/>
      <c r="AH605" s="327"/>
      <c r="AI605" s="327"/>
      <c r="AJ605" s="327"/>
      <c r="AK605" s="336"/>
      <c r="AL605" s="42"/>
    </row>
    <row r="606" spans="2:38" x14ac:dyDescent="0.25">
      <c r="B606" s="327"/>
      <c r="C606" s="327"/>
      <c r="D606" s="327"/>
      <c r="E606" s="327"/>
      <c r="F606" s="327"/>
      <c r="G606" s="327"/>
      <c r="H606" s="312"/>
      <c r="I606" s="327"/>
      <c r="J606" s="327"/>
      <c r="K606" s="334"/>
      <c r="L606" s="322"/>
      <c r="M606" s="322"/>
      <c r="N606" s="327"/>
      <c r="O606" s="327"/>
      <c r="P606" s="331"/>
      <c r="Q606" s="327"/>
      <c r="R606" s="276"/>
      <c r="S606" s="322"/>
      <c r="T606" s="322"/>
      <c r="U606" s="327"/>
      <c r="V606" s="335"/>
      <c r="W606" s="327"/>
      <c r="X606" s="327"/>
      <c r="Y606" s="327"/>
      <c r="Z606" s="107"/>
      <c r="AA606" s="335"/>
      <c r="AB606" s="335"/>
      <c r="AC606" s="327"/>
      <c r="AD606" s="327"/>
      <c r="AE606" s="327"/>
      <c r="AF606" s="327"/>
      <c r="AG606" s="327"/>
      <c r="AH606" s="327"/>
      <c r="AI606" s="327"/>
      <c r="AJ606" s="327"/>
      <c r="AK606" s="336"/>
      <c r="AL606" s="42"/>
    </row>
    <row r="607" spans="2:38" x14ac:dyDescent="0.25">
      <c r="B607" s="327"/>
      <c r="C607" s="327"/>
      <c r="D607" s="327"/>
      <c r="E607" s="327"/>
      <c r="F607" s="327"/>
      <c r="G607" s="327"/>
      <c r="H607" s="312"/>
      <c r="I607" s="327"/>
      <c r="J607" s="327"/>
      <c r="K607" s="334"/>
      <c r="L607" s="322"/>
      <c r="M607" s="322"/>
      <c r="N607" s="327"/>
      <c r="O607" s="327"/>
      <c r="P607" s="331"/>
      <c r="Q607" s="327"/>
      <c r="R607" s="276"/>
      <c r="S607" s="322"/>
      <c r="T607" s="322"/>
      <c r="U607" s="327"/>
      <c r="V607" s="335"/>
      <c r="W607" s="327"/>
      <c r="X607" s="327"/>
      <c r="Y607" s="327"/>
      <c r="Z607" s="107"/>
      <c r="AA607" s="335"/>
      <c r="AB607" s="335"/>
      <c r="AC607" s="327"/>
      <c r="AD607" s="327"/>
      <c r="AE607" s="327"/>
      <c r="AF607" s="327"/>
      <c r="AG607" s="327"/>
      <c r="AH607" s="327"/>
      <c r="AI607" s="327"/>
      <c r="AJ607" s="327"/>
      <c r="AK607" s="336"/>
      <c r="AL607" s="42"/>
    </row>
    <row r="608" spans="2:38" x14ac:dyDescent="0.25">
      <c r="B608" s="327"/>
      <c r="C608" s="327"/>
      <c r="D608" s="327"/>
      <c r="E608" s="327"/>
      <c r="F608" s="327"/>
      <c r="G608" s="327"/>
      <c r="H608" s="312"/>
      <c r="I608" s="327"/>
      <c r="J608" s="327"/>
      <c r="K608" s="334"/>
      <c r="L608" s="322"/>
      <c r="M608" s="322"/>
      <c r="N608" s="327"/>
      <c r="O608" s="327"/>
      <c r="P608" s="331"/>
      <c r="Q608" s="327"/>
      <c r="R608" s="276"/>
      <c r="S608" s="322"/>
      <c r="T608" s="322"/>
      <c r="U608" s="327"/>
      <c r="V608" s="335"/>
      <c r="W608" s="327"/>
      <c r="X608" s="327"/>
      <c r="Y608" s="327"/>
      <c r="Z608" s="107"/>
      <c r="AA608" s="335"/>
      <c r="AB608" s="335"/>
      <c r="AC608" s="327"/>
      <c r="AD608" s="327"/>
      <c r="AE608" s="327"/>
      <c r="AF608" s="327"/>
      <c r="AG608" s="327"/>
      <c r="AH608" s="327"/>
      <c r="AI608" s="327"/>
      <c r="AJ608" s="327"/>
      <c r="AK608" s="336"/>
      <c r="AL608" s="42"/>
    </row>
    <row r="609" spans="2:38" x14ac:dyDescent="0.25">
      <c r="B609" s="327"/>
      <c r="C609" s="327"/>
      <c r="D609" s="327"/>
      <c r="E609" s="327"/>
      <c r="F609" s="327"/>
      <c r="G609" s="327"/>
      <c r="H609" s="312"/>
      <c r="I609" s="327"/>
      <c r="J609" s="327"/>
      <c r="K609" s="334"/>
      <c r="L609" s="322"/>
      <c r="M609" s="322"/>
      <c r="N609" s="327"/>
      <c r="O609" s="327"/>
      <c r="P609" s="331"/>
      <c r="Q609" s="327"/>
      <c r="R609" s="276"/>
      <c r="S609" s="322"/>
      <c r="T609" s="322"/>
      <c r="U609" s="327"/>
      <c r="V609" s="335"/>
      <c r="W609" s="327"/>
      <c r="X609" s="327"/>
      <c r="Y609" s="327"/>
      <c r="Z609" s="107"/>
      <c r="AA609" s="335"/>
      <c r="AB609" s="335"/>
      <c r="AC609" s="327"/>
      <c r="AD609" s="327"/>
      <c r="AE609" s="327"/>
      <c r="AF609" s="327"/>
      <c r="AG609" s="327"/>
      <c r="AH609" s="327"/>
      <c r="AI609" s="327"/>
      <c r="AJ609" s="327"/>
      <c r="AK609" s="336"/>
      <c r="AL609" s="42"/>
    </row>
    <row r="610" spans="2:38" x14ac:dyDescent="0.25">
      <c r="B610" s="327"/>
      <c r="C610" s="327"/>
      <c r="D610" s="327"/>
      <c r="E610" s="327"/>
      <c r="F610" s="327"/>
      <c r="G610" s="327"/>
      <c r="H610" s="312"/>
      <c r="I610" s="327"/>
      <c r="J610" s="327"/>
      <c r="K610" s="334"/>
      <c r="L610" s="322"/>
      <c r="M610" s="322"/>
      <c r="N610" s="327"/>
      <c r="O610" s="327"/>
      <c r="P610" s="331"/>
      <c r="Q610" s="327"/>
      <c r="R610" s="276"/>
      <c r="S610" s="322"/>
      <c r="T610" s="322"/>
      <c r="U610" s="327"/>
      <c r="V610" s="335"/>
      <c r="W610" s="327"/>
      <c r="X610" s="327"/>
      <c r="Y610" s="327"/>
      <c r="Z610" s="107"/>
      <c r="AA610" s="335"/>
      <c r="AB610" s="335"/>
      <c r="AC610" s="327"/>
      <c r="AD610" s="327"/>
      <c r="AE610" s="327"/>
      <c r="AF610" s="327"/>
      <c r="AG610" s="327"/>
      <c r="AH610" s="327"/>
      <c r="AI610" s="327"/>
      <c r="AJ610" s="327"/>
      <c r="AK610" s="336"/>
      <c r="AL610" s="42"/>
    </row>
    <row r="611" spans="2:38" x14ac:dyDescent="0.25">
      <c r="B611" s="327"/>
      <c r="C611" s="327"/>
      <c r="D611" s="327"/>
      <c r="E611" s="327"/>
      <c r="F611" s="327"/>
      <c r="G611" s="327"/>
      <c r="H611" s="312"/>
      <c r="I611" s="327"/>
      <c r="J611" s="327"/>
      <c r="K611" s="334"/>
      <c r="L611" s="322"/>
      <c r="M611" s="322"/>
      <c r="N611" s="327"/>
      <c r="O611" s="327"/>
      <c r="P611" s="331"/>
      <c r="Q611" s="327"/>
      <c r="R611" s="276"/>
      <c r="S611" s="322"/>
      <c r="T611" s="322"/>
      <c r="U611" s="327"/>
      <c r="V611" s="335"/>
      <c r="W611" s="327"/>
      <c r="X611" s="327"/>
      <c r="Y611" s="327"/>
      <c r="Z611" s="107"/>
      <c r="AA611" s="335"/>
      <c r="AB611" s="335"/>
      <c r="AC611" s="327"/>
      <c r="AD611" s="327"/>
      <c r="AE611" s="327"/>
      <c r="AF611" s="327"/>
      <c r="AG611" s="327"/>
      <c r="AH611" s="327"/>
      <c r="AI611" s="327"/>
      <c r="AJ611" s="327"/>
      <c r="AK611" s="336"/>
      <c r="AL611" s="42"/>
    </row>
    <row r="612" spans="2:38" x14ac:dyDescent="0.25">
      <c r="B612" s="327"/>
      <c r="C612" s="327"/>
      <c r="D612" s="327"/>
      <c r="E612" s="327"/>
      <c r="F612" s="327"/>
      <c r="G612" s="327"/>
      <c r="H612" s="312"/>
      <c r="I612" s="327"/>
      <c r="J612" s="327"/>
      <c r="K612" s="334"/>
      <c r="L612" s="322"/>
      <c r="M612" s="322"/>
      <c r="N612" s="327"/>
      <c r="O612" s="327"/>
      <c r="P612" s="331"/>
      <c r="Q612" s="327"/>
      <c r="R612" s="276"/>
      <c r="S612" s="322"/>
      <c r="T612" s="322"/>
      <c r="U612" s="327"/>
      <c r="V612" s="335"/>
      <c r="W612" s="327"/>
      <c r="X612" s="327"/>
      <c r="Y612" s="327"/>
      <c r="Z612" s="107"/>
      <c r="AA612" s="335"/>
      <c r="AB612" s="335"/>
      <c r="AC612" s="327"/>
      <c r="AD612" s="327"/>
      <c r="AE612" s="327"/>
      <c r="AF612" s="327"/>
      <c r="AG612" s="327"/>
      <c r="AH612" s="327"/>
      <c r="AI612" s="327"/>
      <c r="AJ612" s="327"/>
      <c r="AK612" s="336"/>
      <c r="AL612" s="42"/>
    </row>
    <row r="613" spans="2:38" x14ac:dyDescent="0.25">
      <c r="B613" s="327"/>
      <c r="C613" s="327"/>
      <c r="D613" s="327"/>
      <c r="E613" s="327"/>
      <c r="F613" s="327"/>
      <c r="G613" s="327"/>
      <c r="H613" s="312"/>
      <c r="I613" s="327"/>
      <c r="J613" s="327"/>
      <c r="K613" s="334"/>
      <c r="L613" s="322"/>
      <c r="M613" s="322"/>
      <c r="N613" s="327"/>
      <c r="O613" s="327"/>
      <c r="P613" s="331"/>
      <c r="Q613" s="327"/>
      <c r="R613" s="276"/>
      <c r="S613" s="322"/>
      <c r="T613" s="322"/>
      <c r="U613" s="327"/>
      <c r="V613" s="335"/>
      <c r="W613" s="327"/>
      <c r="X613" s="327"/>
      <c r="Y613" s="327"/>
      <c r="Z613" s="107"/>
      <c r="AA613" s="335"/>
      <c r="AB613" s="335"/>
      <c r="AC613" s="327"/>
      <c r="AD613" s="327"/>
      <c r="AE613" s="327"/>
      <c r="AF613" s="327"/>
      <c r="AG613" s="327"/>
      <c r="AH613" s="327"/>
      <c r="AI613" s="327"/>
      <c r="AJ613" s="327"/>
      <c r="AK613" s="336"/>
      <c r="AL613" s="42"/>
    </row>
    <row r="614" spans="2:38" x14ac:dyDescent="0.25">
      <c r="B614" s="327"/>
      <c r="C614" s="327"/>
      <c r="D614" s="327"/>
      <c r="E614" s="327"/>
      <c r="F614" s="327"/>
      <c r="G614" s="327"/>
      <c r="H614" s="312"/>
      <c r="I614" s="327"/>
      <c r="J614" s="327"/>
      <c r="K614" s="334"/>
      <c r="L614" s="322"/>
      <c r="M614" s="322"/>
      <c r="N614" s="327"/>
      <c r="O614" s="327"/>
      <c r="P614" s="331"/>
      <c r="Q614" s="327"/>
      <c r="R614" s="276"/>
      <c r="S614" s="322"/>
      <c r="T614" s="322"/>
      <c r="U614" s="327"/>
      <c r="V614" s="335"/>
      <c r="W614" s="327"/>
      <c r="X614" s="327"/>
      <c r="Y614" s="327"/>
      <c r="Z614" s="107"/>
      <c r="AA614" s="335"/>
      <c r="AB614" s="335"/>
      <c r="AC614" s="327"/>
      <c r="AD614" s="327"/>
      <c r="AE614" s="327"/>
      <c r="AF614" s="327"/>
      <c r="AG614" s="327"/>
      <c r="AH614" s="327"/>
      <c r="AI614" s="327"/>
      <c r="AJ614" s="327"/>
      <c r="AK614" s="336"/>
      <c r="AL614" s="42"/>
    </row>
    <row r="615" spans="2:38" x14ac:dyDescent="0.25">
      <c r="B615" s="327"/>
      <c r="C615" s="327"/>
      <c r="D615" s="327"/>
      <c r="E615" s="327"/>
      <c r="F615" s="327"/>
      <c r="G615" s="327"/>
      <c r="H615" s="312"/>
      <c r="I615" s="327"/>
      <c r="J615" s="327"/>
      <c r="K615" s="334"/>
      <c r="L615" s="322"/>
      <c r="M615" s="322"/>
      <c r="N615" s="327"/>
      <c r="O615" s="327"/>
      <c r="P615" s="331"/>
      <c r="Q615" s="327"/>
      <c r="R615" s="276"/>
      <c r="S615" s="322"/>
      <c r="T615" s="322"/>
      <c r="U615" s="327"/>
      <c r="V615" s="335"/>
      <c r="W615" s="327"/>
      <c r="X615" s="327"/>
      <c r="Y615" s="327"/>
      <c r="Z615" s="107"/>
      <c r="AA615" s="335"/>
      <c r="AB615" s="335"/>
      <c r="AC615" s="327"/>
      <c r="AD615" s="327"/>
      <c r="AE615" s="327"/>
      <c r="AF615" s="327"/>
      <c r="AG615" s="327"/>
      <c r="AH615" s="327"/>
      <c r="AI615" s="327"/>
      <c r="AJ615" s="327"/>
      <c r="AK615" s="336"/>
      <c r="AL615" s="42"/>
    </row>
    <row r="616" spans="2:38" x14ac:dyDescent="0.25">
      <c r="B616" s="327"/>
      <c r="C616" s="327"/>
      <c r="D616" s="327"/>
      <c r="E616" s="327"/>
      <c r="F616" s="327"/>
      <c r="G616" s="327"/>
      <c r="H616" s="312"/>
      <c r="I616" s="327"/>
      <c r="J616" s="327"/>
      <c r="K616" s="334"/>
      <c r="L616" s="322"/>
      <c r="M616" s="322"/>
      <c r="N616" s="327"/>
      <c r="O616" s="327"/>
      <c r="P616" s="331"/>
      <c r="Q616" s="327"/>
      <c r="R616" s="276"/>
      <c r="S616" s="322"/>
      <c r="T616" s="322"/>
      <c r="U616" s="327"/>
      <c r="V616" s="335"/>
      <c r="W616" s="327"/>
      <c r="X616" s="327"/>
      <c r="Y616" s="327"/>
      <c r="Z616" s="107"/>
      <c r="AA616" s="335"/>
      <c r="AB616" s="335"/>
      <c r="AC616" s="327"/>
      <c r="AD616" s="327"/>
      <c r="AE616" s="327"/>
      <c r="AF616" s="327"/>
      <c r="AG616" s="327"/>
      <c r="AH616" s="327"/>
      <c r="AI616" s="327"/>
      <c r="AJ616" s="327"/>
      <c r="AK616" s="336"/>
      <c r="AL616" s="42"/>
    </row>
    <row r="617" spans="2:38" x14ac:dyDescent="0.25">
      <c r="B617" s="327"/>
      <c r="C617" s="327"/>
      <c r="D617" s="327"/>
      <c r="E617" s="327"/>
      <c r="F617" s="327"/>
      <c r="G617" s="327"/>
      <c r="H617" s="312"/>
      <c r="I617" s="327"/>
      <c r="J617" s="327"/>
      <c r="K617" s="334"/>
      <c r="L617" s="322"/>
      <c r="M617" s="322"/>
      <c r="N617" s="327"/>
      <c r="O617" s="327"/>
      <c r="P617" s="331"/>
      <c r="Q617" s="327"/>
      <c r="R617" s="276"/>
      <c r="S617" s="322"/>
      <c r="T617" s="322"/>
      <c r="U617" s="327"/>
      <c r="V617" s="335"/>
      <c r="W617" s="327"/>
      <c r="X617" s="327"/>
      <c r="Y617" s="327"/>
      <c r="Z617" s="107"/>
      <c r="AA617" s="335"/>
      <c r="AB617" s="335"/>
      <c r="AC617" s="327"/>
      <c r="AD617" s="327"/>
      <c r="AE617" s="327"/>
      <c r="AF617" s="327"/>
      <c r="AG617" s="327"/>
      <c r="AH617" s="327"/>
      <c r="AI617" s="327"/>
      <c r="AJ617" s="327"/>
      <c r="AK617" s="336"/>
      <c r="AL617" s="42"/>
    </row>
    <row r="618" spans="2:38" x14ac:dyDescent="0.25">
      <c r="B618" s="327"/>
      <c r="C618" s="327"/>
      <c r="D618" s="327"/>
      <c r="E618" s="327"/>
      <c r="F618" s="327"/>
      <c r="G618" s="327"/>
      <c r="H618" s="312"/>
      <c r="I618" s="327"/>
      <c r="J618" s="327"/>
      <c r="K618" s="334"/>
      <c r="L618" s="322"/>
      <c r="M618" s="322"/>
      <c r="N618" s="327"/>
      <c r="O618" s="327"/>
      <c r="P618" s="331"/>
      <c r="Q618" s="327"/>
      <c r="R618" s="276"/>
      <c r="S618" s="322"/>
      <c r="T618" s="322"/>
      <c r="U618" s="327"/>
      <c r="V618" s="335"/>
      <c r="W618" s="327"/>
      <c r="X618" s="327"/>
      <c r="Y618" s="327"/>
      <c r="Z618" s="107"/>
      <c r="AA618" s="335"/>
      <c r="AB618" s="335"/>
      <c r="AC618" s="327"/>
      <c r="AD618" s="327"/>
      <c r="AE618" s="327"/>
      <c r="AF618" s="327"/>
      <c r="AG618" s="327"/>
      <c r="AH618" s="327"/>
      <c r="AI618" s="327"/>
      <c r="AJ618" s="327"/>
      <c r="AK618" s="336"/>
      <c r="AL618" s="42"/>
    </row>
    <row r="619" spans="2:38" x14ac:dyDescent="0.25">
      <c r="B619" s="327"/>
      <c r="C619" s="327"/>
      <c r="D619" s="327"/>
      <c r="E619" s="327"/>
      <c r="F619" s="327"/>
      <c r="G619" s="327"/>
      <c r="H619" s="312"/>
      <c r="I619" s="327"/>
      <c r="J619" s="327"/>
      <c r="K619" s="334"/>
      <c r="L619" s="322"/>
      <c r="M619" s="322"/>
      <c r="N619" s="327"/>
      <c r="O619" s="327"/>
      <c r="P619" s="331"/>
      <c r="Q619" s="327"/>
      <c r="R619" s="276"/>
      <c r="S619" s="322"/>
      <c r="T619" s="322"/>
      <c r="U619" s="327"/>
      <c r="V619" s="335"/>
      <c r="W619" s="327"/>
      <c r="X619" s="327"/>
      <c r="Y619" s="327"/>
      <c r="Z619" s="107"/>
      <c r="AA619" s="335"/>
      <c r="AB619" s="335"/>
      <c r="AC619" s="327"/>
      <c r="AD619" s="327"/>
      <c r="AE619" s="327"/>
      <c r="AF619" s="327"/>
      <c r="AG619" s="327"/>
      <c r="AH619" s="327"/>
      <c r="AI619" s="327"/>
      <c r="AJ619" s="327"/>
      <c r="AK619" s="336"/>
      <c r="AL619" s="42"/>
    </row>
    <row r="620" spans="2:38" x14ac:dyDescent="0.25">
      <c r="B620" s="327"/>
      <c r="C620" s="327"/>
      <c r="D620" s="327"/>
      <c r="E620" s="327"/>
      <c r="F620" s="327"/>
      <c r="G620" s="327"/>
      <c r="H620" s="312"/>
      <c r="I620" s="327"/>
      <c r="J620" s="327"/>
      <c r="K620" s="334"/>
      <c r="L620" s="322"/>
      <c r="M620" s="322"/>
      <c r="N620" s="327"/>
      <c r="O620" s="327"/>
      <c r="P620" s="331"/>
      <c r="Q620" s="327"/>
      <c r="R620" s="276"/>
      <c r="S620" s="322"/>
      <c r="T620" s="322"/>
      <c r="U620" s="327"/>
      <c r="V620" s="335"/>
      <c r="W620" s="327"/>
      <c r="X620" s="327"/>
      <c r="Y620" s="327"/>
      <c r="Z620" s="107"/>
      <c r="AA620" s="335"/>
      <c r="AB620" s="335"/>
      <c r="AC620" s="327"/>
      <c r="AD620" s="327"/>
      <c r="AE620" s="327"/>
      <c r="AF620" s="327"/>
      <c r="AG620" s="327"/>
      <c r="AH620" s="327"/>
      <c r="AI620" s="327"/>
      <c r="AJ620" s="327"/>
      <c r="AK620" s="336"/>
      <c r="AL620" s="42"/>
    </row>
    <row r="621" spans="2:38" x14ac:dyDescent="0.25">
      <c r="B621" s="327"/>
      <c r="C621" s="327"/>
      <c r="D621" s="327"/>
      <c r="E621" s="327"/>
      <c r="F621" s="327"/>
      <c r="G621" s="327"/>
      <c r="H621" s="312"/>
      <c r="I621" s="327"/>
      <c r="J621" s="327"/>
      <c r="K621" s="334"/>
      <c r="L621" s="322"/>
      <c r="M621" s="322"/>
      <c r="N621" s="327"/>
      <c r="O621" s="327"/>
      <c r="P621" s="331"/>
      <c r="Q621" s="327"/>
      <c r="R621" s="276"/>
      <c r="S621" s="322"/>
      <c r="T621" s="322"/>
      <c r="U621" s="327"/>
      <c r="V621" s="335"/>
      <c r="W621" s="327"/>
      <c r="X621" s="327"/>
      <c r="Y621" s="327"/>
      <c r="Z621" s="107"/>
      <c r="AA621" s="335"/>
      <c r="AB621" s="335"/>
      <c r="AC621" s="327"/>
      <c r="AD621" s="327"/>
      <c r="AE621" s="327"/>
      <c r="AF621" s="327"/>
      <c r="AG621" s="327"/>
      <c r="AH621" s="327"/>
      <c r="AI621" s="327"/>
      <c r="AJ621" s="327"/>
      <c r="AK621" s="336"/>
      <c r="AL621" s="42"/>
    </row>
    <row r="622" spans="2:38" x14ac:dyDescent="0.25">
      <c r="B622" s="327"/>
      <c r="C622" s="327"/>
      <c r="D622" s="327"/>
      <c r="E622" s="327"/>
      <c r="F622" s="327"/>
      <c r="G622" s="327"/>
      <c r="H622" s="312"/>
      <c r="I622" s="327"/>
      <c r="J622" s="327"/>
      <c r="K622" s="334"/>
      <c r="L622" s="322"/>
      <c r="M622" s="322"/>
      <c r="N622" s="327"/>
      <c r="O622" s="327"/>
      <c r="P622" s="331"/>
      <c r="Q622" s="327"/>
      <c r="R622" s="276"/>
      <c r="S622" s="322"/>
      <c r="T622" s="322"/>
      <c r="U622" s="327"/>
      <c r="V622" s="335"/>
      <c r="W622" s="327"/>
      <c r="X622" s="327"/>
      <c r="Y622" s="327"/>
      <c r="Z622" s="107"/>
      <c r="AA622" s="335"/>
      <c r="AB622" s="335"/>
      <c r="AC622" s="327"/>
      <c r="AD622" s="327"/>
      <c r="AE622" s="327"/>
      <c r="AF622" s="327"/>
      <c r="AG622" s="327"/>
      <c r="AH622" s="327"/>
      <c r="AI622" s="327"/>
      <c r="AJ622" s="327"/>
      <c r="AK622" s="336"/>
      <c r="AL622" s="42"/>
    </row>
    <row r="623" spans="2:38" x14ac:dyDescent="0.25">
      <c r="B623" s="327"/>
      <c r="C623" s="327"/>
      <c r="D623" s="327"/>
      <c r="E623" s="327"/>
      <c r="F623" s="327"/>
      <c r="G623" s="327"/>
      <c r="H623" s="312"/>
      <c r="I623" s="327"/>
      <c r="J623" s="327"/>
      <c r="K623" s="334"/>
      <c r="L623" s="322"/>
      <c r="M623" s="322"/>
      <c r="N623" s="327"/>
      <c r="O623" s="327"/>
      <c r="P623" s="331"/>
      <c r="Q623" s="327"/>
      <c r="R623" s="276"/>
      <c r="S623" s="322"/>
      <c r="T623" s="322"/>
      <c r="U623" s="327"/>
      <c r="V623" s="335"/>
      <c r="W623" s="327"/>
      <c r="X623" s="327"/>
      <c r="Y623" s="327"/>
      <c r="Z623" s="107"/>
      <c r="AA623" s="335"/>
      <c r="AB623" s="335"/>
      <c r="AC623" s="327"/>
      <c r="AD623" s="327"/>
      <c r="AE623" s="327"/>
      <c r="AF623" s="327"/>
      <c r="AG623" s="327"/>
      <c r="AH623" s="327"/>
      <c r="AI623" s="327"/>
      <c r="AJ623" s="327"/>
      <c r="AK623" s="336"/>
      <c r="AL623" s="42"/>
    </row>
    <row r="624" spans="2:38" x14ac:dyDescent="0.25">
      <c r="B624" s="327"/>
      <c r="C624" s="327"/>
      <c r="D624" s="327"/>
      <c r="E624" s="327"/>
      <c r="F624" s="327"/>
      <c r="G624" s="327"/>
      <c r="H624" s="312"/>
      <c r="I624" s="327"/>
      <c r="J624" s="327"/>
      <c r="K624" s="334"/>
      <c r="L624" s="322"/>
      <c r="M624" s="322"/>
      <c r="N624" s="327"/>
      <c r="O624" s="327"/>
      <c r="P624" s="331"/>
      <c r="Q624" s="327"/>
      <c r="R624" s="276"/>
      <c r="S624" s="322"/>
      <c r="T624" s="322"/>
      <c r="U624" s="327"/>
      <c r="V624" s="335"/>
      <c r="W624" s="327"/>
      <c r="X624" s="327"/>
      <c r="Y624" s="327"/>
      <c r="Z624" s="107"/>
      <c r="AA624" s="335"/>
      <c r="AB624" s="335"/>
      <c r="AC624" s="327"/>
      <c r="AD624" s="327"/>
      <c r="AE624" s="327"/>
      <c r="AF624" s="327"/>
      <c r="AG624" s="327"/>
      <c r="AH624" s="327"/>
      <c r="AI624" s="327"/>
      <c r="AJ624" s="327"/>
      <c r="AK624" s="336"/>
      <c r="AL624" s="42"/>
    </row>
    <row r="625" spans="2:38" x14ac:dyDescent="0.25">
      <c r="B625" s="327"/>
      <c r="C625" s="327"/>
      <c r="D625" s="327"/>
      <c r="E625" s="327"/>
      <c r="F625" s="327"/>
      <c r="G625" s="327"/>
      <c r="H625" s="312"/>
      <c r="I625" s="327"/>
      <c r="J625" s="327"/>
      <c r="K625" s="334"/>
      <c r="L625" s="322"/>
      <c r="M625" s="322"/>
      <c r="N625" s="327"/>
      <c r="O625" s="327"/>
      <c r="P625" s="331"/>
      <c r="Q625" s="327"/>
      <c r="R625" s="276"/>
      <c r="S625" s="322"/>
      <c r="T625" s="322"/>
      <c r="U625" s="327"/>
      <c r="V625" s="335"/>
      <c r="W625" s="327"/>
      <c r="X625" s="327"/>
      <c r="Y625" s="327"/>
      <c r="Z625" s="107"/>
      <c r="AA625" s="335"/>
      <c r="AB625" s="335"/>
      <c r="AC625" s="327"/>
      <c r="AD625" s="327"/>
      <c r="AE625" s="327"/>
      <c r="AF625" s="327"/>
      <c r="AG625" s="327"/>
      <c r="AH625" s="327"/>
      <c r="AI625" s="327"/>
      <c r="AJ625" s="327"/>
      <c r="AK625" s="336"/>
      <c r="AL625" s="42"/>
    </row>
    <row r="626" spans="2:38" x14ac:dyDescent="0.25">
      <c r="B626" s="327"/>
      <c r="C626" s="327"/>
      <c r="D626" s="327"/>
      <c r="E626" s="327"/>
      <c r="F626" s="327"/>
      <c r="G626" s="327"/>
      <c r="H626" s="312"/>
      <c r="I626" s="327"/>
      <c r="J626" s="327"/>
      <c r="K626" s="334"/>
      <c r="L626" s="322"/>
      <c r="M626" s="322"/>
      <c r="N626" s="327"/>
      <c r="O626" s="327"/>
      <c r="P626" s="331"/>
      <c r="Q626" s="327"/>
      <c r="R626" s="276"/>
      <c r="S626" s="322"/>
      <c r="T626" s="322"/>
      <c r="U626" s="327"/>
      <c r="V626" s="335"/>
      <c r="W626" s="327"/>
      <c r="X626" s="327"/>
      <c r="Y626" s="327"/>
      <c r="Z626" s="107"/>
      <c r="AA626" s="335"/>
      <c r="AB626" s="335"/>
      <c r="AC626" s="327"/>
      <c r="AD626" s="327"/>
      <c r="AE626" s="327"/>
      <c r="AF626" s="327"/>
      <c r="AG626" s="327"/>
      <c r="AH626" s="327"/>
      <c r="AI626" s="327"/>
      <c r="AJ626" s="327"/>
      <c r="AK626" s="336"/>
      <c r="AL626" s="42"/>
    </row>
    <row r="627" spans="2:38" x14ac:dyDescent="0.25">
      <c r="B627" s="327"/>
      <c r="C627" s="327"/>
      <c r="D627" s="327"/>
      <c r="E627" s="327"/>
      <c r="F627" s="327"/>
      <c r="G627" s="327"/>
      <c r="H627" s="312"/>
      <c r="I627" s="327"/>
      <c r="J627" s="327"/>
      <c r="K627" s="334"/>
      <c r="L627" s="322"/>
      <c r="M627" s="322"/>
      <c r="N627" s="327"/>
      <c r="O627" s="327"/>
      <c r="P627" s="331"/>
      <c r="Q627" s="327"/>
      <c r="R627" s="276"/>
      <c r="S627" s="322"/>
      <c r="T627" s="322"/>
      <c r="U627" s="327"/>
      <c r="V627" s="335"/>
      <c r="W627" s="327"/>
      <c r="X627" s="327"/>
      <c r="Y627" s="327"/>
      <c r="Z627" s="107"/>
      <c r="AA627" s="335"/>
      <c r="AB627" s="335"/>
      <c r="AC627" s="327"/>
      <c r="AD627" s="327"/>
      <c r="AE627" s="327"/>
      <c r="AF627" s="327"/>
      <c r="AG627" s="327"/>
      <c r="AH627" s="327"/>
      <c r="AI627" s="327"/>
      <c r="AJ627" s="327"/>
      <c r="AK627" s="336"/>
      <c r="AL627" s="42"/>
    </row>
    <row r="628" spans="2:38" x14ac:dyDescent="0.25">
      <c r="B628" s="327"/>
      <c r="C628" s="327"/>
      <c r="D628" s="327"/>
      <c r="E628" s="327"/>
      <c r="F628" s="327"/>
      <c r="G628" s="327"/>
      <c r="H628" s="312"/>
      <c r="I628" s="327"/>
      <c r="J628" s="327"/>
      <c r="K628" s="334"/>
      <c r="L628" s="322"/>
      <c r="M628" s="322"/>
      <c r="N628" s="327"/>
      <c r="O628" s="327"/>
      <c r="P628" s="331"/>
      <c r="Q628" s="327"/>
      <c r="R628" s="276"/>
      <c r="S628" s="322"/>
      <c r="T628" s="322"/>
      <c r="U628" s="327"/>
      <c r="V628" s="335"/>
      <c r="W628" s="327"/>
      <c r="X628" s="327"/>
      <c r="Y628" s="327"/>
      <c r="Z628" s="107"/>
      <c r="AA628" s="335"/>
      <c r="AB628" s="335"/>
      <c r="AC628" s="327"/>
      <c r="AD628" s="327"/>
      <c r="AE628" s="327"/>
      <c r="AF628" s="327"/>
      <c r="AG628" s="327"/>
      <c r="AH628" s="327"/>
      <c r="AI628" s="327"/>
      <c r="AJ628" s="327"/>
      <c r="AK628" s="336"/>
      <c r="AL628" s="42"/>
    </row>
    <row r="629" spans="2:38" x14ac:dyDescent="0.25">
      <c r="B629" s="327"/>
      <c r="C629" s="327"/>
      <c r="D629" s="327"/>
      <c r="E629" s="327"/>
      <c r="F629" s="327"/>
      <c r="G629" s="327"/>
      <c r="H629" s="312"/>
      <c r="I629" s="327"/>
      <c r="J629" s="327"/>
      <c r="K629" s="334"/>
      <c r="L629" s="322"/>
      <c r="M629" s="322"/>
      <c r="N629" s="327"/>
      <c r="O629" s="327"/>
      <c r="P629" s="331"/>
      <c r="Q629" s="327"/>
      <c r="R629" s="276"/>
      <c r="S629" s="322"/>
      <c r="T629" s="322"/>
      <c r="U629" s="327"/>
      <c r="V629" s="335"/>
      <c r="W629" s="327"/>
      <c r="X629" s="327"/>
      <c r="Y629" s="327"/>
      <c r="Z629" s="107"/>
      <c r="AA629" s="335"/>
      <c r="AB629" s="335"/>
      <c r="AC629" s="327"/>
      <c r="AD629" s="327"/>
      <c r="AE629" s="327"/>
      <c r="AF629" s="327"/>
      <c r="AG629" s="327"/>
      <c r="AH629" s="327"/>
      <c r="AI629" s="327"/>
      <c r="AJ629" s="327"/>
      <c r="AK629" s="336"/>
      <c r="AL629" s="42"/>
    </row>
    <row r="630" spans="2:38" x14ac:dyDescent="0.25">
      <c r="B630" s="327"/>
      <c r="C630" s="327"/>
      <c r="D630" s="327"/>
      <c r="E630" s="327"/>
      <c r="F630" s="327"/>
      <c r="G630" s="327"/>
      <c r="H630" s="312"/>
      <c r="I630" s="327"/>
      <c r="J630" s="327"/>
      <c r="K630" s="334"/>
      <c r="L630" s="322"/>
      <c r="M630" s="322"/>
      <c r="N630" s="327"/>
      <c r="O630" s="327"/>
      <c r="P630" s="331"/>
      <c r="Q630" s="327"/>
      <c r="R630" s="276"/>
      <c r="S630" s="322"/>
      <c r="T630" s="322"/>
      <c r="U630" s="327"/>
      <c r="V630" s="335"/>
      <c r="W630" s="327"/>
      <c r="X630" s="327"/>
      <c r="Y630" s="327"/>
      <c r="Z630" s="107"/>
      <c r="AA630" s="335"/>
      <c r="AB630" s="335"/>
      <c r="AC630" s="327"/>
      <c r="AD630" s="327"/>
      <c r="AE630" s="327"/>
      <c r="AF630" s="327"/>
      <c r="AG630" s="327"/>
      <c r="AH630" s="327"/>
      <c r="AI630" s="327"/>
      <c r="AJ630" s="327"/>
      <c r="AK630" s="336"/>
      <c r="AL630" s="42"/>
    </row>
    <row r="631" spans="2:38" x14ac:dyDescent="0.25">
      <c r="B631" s="327"/>
      <c r="C631" s="327"/>
      <c r="D631" s="327"/>
      <c r="E631" s="327"/>
      <c r="F631" s="327"/>
      <c r="G631" s="327"/>
      <c r="H631" s="312"/>
      <c r="I631" s="327"/>
      <c r="J631" s="327"/>
      <c r="K631" s="334"/>
      <c r="L631" s="322"/>
      <c r="M631" s="322"/>
      <c r="N631" s="327"/>
      <c r="O631" s="327"/>
      <c r="P631" s="331"/>
      <c r="Q631" s="327"/>
      <c r="R631" s="276"/>
      <c r="S631" s="322"/>
      <c r="T631" s="322"/>
      <c r="U631" s="327"/>
      <c r="V631" s="335"/>
      <c r="W631" s="327"/>
      <c r="X631" s="327"/>
      <c r="Y631" s="327"/>
      <c r="Z631" s="107"/>
      <c r="AA631" s="335"/>
      <c r="AB631" s="335"/>
      <c r="AC631" s="327"/>
      <c r="AD631" s="327"/>
      <c r="AE631" s="327"/>
      <c r="AF631" s="327"/>
      <c r="AG631" s="327"/>
      <c r="AH631" s="327"/>
      <c r="AI631" s="327"/>
      <c r="AJ631" s="327"/>
      <c r="AK631" s="336"/>
      <c r="AL631" s="42"/>
    </row>
    <row r="632" spans="2:38" x14ac:dyDescent="0.25">
      <c r="B632" s="327"/>
      <c r="C632" s="327"/>
      <c r="D632" s="327"/>
      <c r="E632" s="327"/>
      <c r="F632" s="327"/>
      <c r="G632" s="327"/>
      <c r="H632" s="312"/>
      <c r="I632" s="327"/>
      <c r="J632" s="327"/>
      <c r="K632" s="334"/>
      <c r="L632" s="322"/>
      <c r="M632" s="322"/>
      <c r="N632" s="327"/>
      <c r="O632" s="327"/>
      <c r="P632" s="331"/>
      <c r="Q632" s="327"/>
      <c r="R632" s="276"/>
      <c r="S632" s="322"/>
      <c r="T632" s="322"/>
      <c r="U632" s="327"/>
      <c r="V632" s="335"/>
      <c r="W632" s="327"/>
      <c r="X632" s="327"/>
      <c r="Y632" s="327"/>
      <c r="Z632" s="107"/>
      <c r="AA632" s="335"/>
      <c r="AB632" s="335"/>
      <c r="AC632" s="327"/>
      <c r="AD632" s="327"/>
      <c r="AE632" s="327"/>
      <c r="AF632" s="327"/>
      <c r="AG632" s="327"/>
      <c r="AH632" s="327"/>
      <c r="AI632" s="327"/>
      <c r="AJ632" s="327"/>
      <c r="AK632" s="336"/>
      <c r="AL632" s="42"/>
    </row>
    <row r="633" spans="2:38" x14ac:dyDescent="0.25">
      <c r="B633" s="327"/>
      <c r="C633" s="327"/>
      <c r="D633" s="327"/>
      <c r="E633" s="327"/>
      <c r="F633" s="327"/>
      <c r="G633" s="327"/>
      <c r="H633" s="312"/>
      <c r="I633" s="327"/>
      <c r="J633" s="327"/>
      <c r="K633" s="334"/>
      <c r="L633" s="322"/>
      <c r="M633" s="322"/>
      <c r="N633" s="327"/>
      <c r="O633" s="327"/>
      <c r="P633" s="331"/>
      <c r="Q633" s="327"/>
      <c r="R633" s="276"/>
      <c r="S633" s="322"/>
      <c r="T633" s="322"/>
      <c r="U633" s="327"/>
      <c r="V633" s="335"/>
      <c r="W633" s="327"/>
      <c r="X633" s="327"/>
      <c r="Y633" s="327"/>
      <c r="Z633" s="107"/>
      <c r="AA633" s="335"/>
      <c r="AB633" s="335"/>
      <c r="AC633" s="327"/>
      <c r="AD633" s="327"/>
      <c r="AE633" s="327"/>
      <c r="AF633" s="327"/>
      <c r="AG633" s="327"/>
      <c r="AH633" s="327"/>
      <c r="AI633" s="327"/>
      <c r="AJ633" s="327"/>
      <c r="AK633" s="336"/>
      <c r="AL633" s="42"/>
    </row>
    <row r="634" spans="2:38" x14ac:dyDescent="0.25">
      <c r="B634" s="327"/>
      <c r="C634" s="327"/>
      <c r="D634" s="327"/>
      <c r="E634" s="327"/>
      <c r="F634" s="327"/>
      <c r="G634" s="327"/>
      <c r="H634" s="312"/>
      <c r="I634" s="327"/>
      <c r="J634" s="327"/>
      <c r="K634" s="334"/>
      <c r="L634" s="322"/>
      <c r="M634" s="322"/>
      <c r="N634" s="327"/>
      <c r="O634" s="327"/>
      <c r="P634" s="331"/>
      <c r="Q634" s="327"/>
      <c r="R634" s="276"/>
      <c r="S634" s="322"/>
      <c r="T634" s="322"/>
      <c r="U634" s="327"/>
      <c r="V634" s="335"/>
      <c r="W634" s="327"/>
      <c r="X634" s="327"/>
      <c r="Y634" s="327"/>
      <c r="Z634" s="107"/>
      <c r="AA634" s="335"/>
      <c r="AB634" s="335"/>
      <c r="AC634" s="327"/>
      <c r="AD634" s="327"/>
      <c r="AE634" s="327"/>
      <c r="AF634" s="327"/>
      <c r="AG634" s="327"/>
      <c r="AH634" s="327"/>
      <c r="AI634" s="327"/>
      <c r="AJ634" s="327"/>
      <c r="AK634" s="336"/>
      <c r="AL634" s="42"/>
    </row>
    <row r="635" spans="2:38" x14ac:dyDescent="0.25">
      <c r="B635" s="327"/>
      <c r="C635" s="327"/>
      <c r="D635" s="327"/>
      <c r="E635" s="327"/>
      <c r="F635" s="327"/>
      <c r="G635" s="327"/>
      <c r="H635" s="312"/>
      <c r="I635" s="327"/>
      <c r="J635" s="327"/>
      <c r="K635" s="334"/>
      <c r="L635" s="322"/>
      <c r="M635" s="322"/>
      <c r="N635" s="327"/>
      <c r="O635" s="327"/>
      <c r="P635" s="331"/>
      <c r="Q635" s="327"/>
      <c r="R635" s="276"/>
      <c r="S635" s="322"/>
      <c r="T635" s="322"/>
      <c r="U635" s="327"/>
      <c r="V635" s="335"/>
      <c r="W635" s="327"/>
      <c r="X635" s="327"/>
      <c r="Y635" s="327"/>
      <c r="Z635" s="107"/>
      <c r="AA635" s="335"/>
      <c r="AB635" s="335"/>
      <c r="AC635" s="327"/>
      <c r="AD635" s="327"/>
      <c r="AE635" s="327"/>
      <c r="AF635" s="327"/>
      <c r="AG635" s="327"/>
      <c r="AH635" s="327"/>
      <c r="AI635" s="327"/>
      <c r="AJ635" s="327"/>
      <c r="AK635" s="336"/>
      <c r="AL635" s="42"/>
    </row>
    <row r="636" spans="2:38" x14ac:dyDescent="0.25">
      <c r="B636" s="327"/>
      <c r="C636" s="327"/>
      <c r="D636" s="327"/>
      <c r="E636" s="327"/>
      <c r="F636" s="327"/>
      <c r="G636" s="327"/>
      <c r="H636" s="312"/>
      <c r="I636" s="327"/>
      <c r="J636" s="327"/>
      <c r="K636" s="334"/>
      <c r="L636" s="322"/>
      <c r="M636" s="322"/>
      <c r="N636" s="327"/>
      <c r="O636" s="327"/>
      <c r="P636" s="331"/>
      <c r="Q636" s="327"/>
      <c r="R636" s="276"/>
      <c r="S636" s="322"/>
      <c r="T636" s="322"/>
      <c r="U636" s="327"/>
      <c r="V636" s="335"/>
      <c r="W636" s="327"/>
      <c r="X636" s="327"/>
      <c r="Y636" s="327"/>
      <c r="Z636" s="107"/>
      <c r="AA636" s="335"/>
      <c r="AB636" s="335"/>
      <c r="AC636" s="327"/>
      <c r="AD636" s="327"/>
      <c r="AE636" s="327"/>
      <c r="AF636" s="327"/>
      <c r="AG636" s="327"/>
      <c r="AH636" s="327"/>
      <c r="AI636" s="327"/>
      <c r="AJ636" s="327"/>
      <c r="AK636" s="336"/>
      <c r="AL636" s="42"/>
    </row>
    <row r="637" spans="2:38" x14ac:dyDescent="0.25">
      <c r="B637" s="327"/>
      <c r="C637" s="327"/>
      <c r="D637" s="327"/>
      <c r="E637" s="327"/>
      <c r="F637" s="327"/>
      <c r="G637" s="327"/>
      <c r="H637" s="312"/>
      <c r="I637" s="327"/>
      <c r="J637" s="327"/>
      <c r="K637" s="334"/>
      <c r="L637" s="322"/>
      <c r="M637" s="322"/>
      <c r="N637" s="327"/>
      <c r="O637" s="327"/>
      <c r="P637" s="331"/>
      <c r="Q637" s="327"/>
      <c r="R637" s="276"/>
      <c r="S637" s="322"/>
      <c r="T637" s="322"/>
      <c r="U637" s="327"/>
      <c r="V637" s="335"/>
      <c r="W637" s="327"/>
      <c r="X637" s="327"/>
      <c r="Y637" s="327"/>
      <c r="Z637" s="107"/>
      <c r="AA637" s="335"/>
      <c r="AB637" s="335"/>
      <c r="AC637" s="327"/>
      <c r="AD637" s="327"/>
      <c r="AE637" s="327"/>
      <c r="AF637" s="327"/>
      <c r="AG637" s="327"/>
      <c r="AH637" s="327"/>
      <c r="AI637" s="327"/>
      <c r="AJ637" s="327"/>
      <c r="AK637" s="336"/>
      <c r="AL637" s="42"/>
    </row>
    <row r="638" spans="2:38" x14ac:dyDescent="0.25">
      <c r="B638" s="327"/>
      <c r="C638" s="327"/>
      <c r="D638" s="327"/>
      <c r="E638" s="327"/>
      <c r="F638" s="327"/>
      <c r="G638" s="327"/>
      <c r="H638" s="312"/>
      <c r="I638" s="327"/>
      <c r="J638" s="327"/>
      <c r="K638" s="334"/>
      <c r="L638" s="322"/>
      <c r="M638" s="322"/>
      <c r="N638" s="327"/>
      <c r="O638" s="327"/>
      <c r="P638" s="331"/>
      <c r="Q638" s="327"/>
      <c r="R638" s="276"/>
      <c r="S638" s="322"/>
      <c r="T638" s="322"/>
      <c r="U638" s="327"/>
      <c r="V638" s="335"/>
      <c r="W638" s="327"/>
      <c r="X638" s="327"/>
      <c r="Y638" s="327"/>
      <c r="Z638" s="107"/>
      <c r="AA638" s="335"/>
      <c r="AB638" s="335"/>
      <c r="AC638" s="327"/>
      <c r="AD638" s="327"/>
      <c r="AE638" s="327"/>
      <c r="AF638" s="327"/>
      <c r="AG638" s="327"/>
      <c r="AH638" s="327"/>
      <c r="AI638" s="327"/>
      <c r="AJ638" s="327"/>
      <c r="AK638" s="336"/>
      <c r="AL638" s="42"/>
    </row>
    <row r="639" spans="2:38" x14ac:dyDescent="0.25">
      <c r="B639" s="327"/>
      <c r="C639" s="327"/>
      <c r="D639" s="327"/>
      <c r="E639" s="327"/>
      <c r="F639" s="327"/>
      <c r="G639" s="327"/>
      <c r="H639" s="312"/>
      <c r="I639" s="327"/>
      <c r="J639" s="327"/>
      <c r="K639" s="334"/>
      <c r="L639" s="322"/>
      <c r="M639" s="322"/>
      <c r="N639" s="327"/>
      <c r="O639" s="327"/>
      <c r="P639" s="331"/>
      <c r="Q639" s="327"/>
      <c r="R639" s="276"/>
      <c r="S639" s="322"/>
      <c r="T639" s="322"/>
      <c r="U639" s="327"/>
      <c r="V639" s="335"/>
      <c r="W639" s="327"/>
      <c r="X639" s="327"/>
      <c r="Y639" s="327"/>
      <c r="Z639" s="107"/>
      <c r="AA639" s="335"/>
      <c r="AB639" s="335"/>
      <c r="AC639" s="327"/>
      <c r="AD639" s="327"/>
      <c r="AE639" s="327"/>
      <c r="AF639" s="327"/>
      <c r="AG639" s="327"/>
      <c r="AH639" s="327"/>
      <c r="AI639" s="327"/>
      <c r="AJ639" s="327"/>
      <c r="AK639" s="336"/>
      <c r="AL639" s="42"/>
    </row>
    <row r="640" spans="2:38" x14ac:dyDescent="0.25">
      <c r="B640" s="327"/>
      <c r="C640" s="327"/>
      <c r="D640" s="327"/>
      <c r="E640" s="327"/>
      <c r="F640" s="327"/>
      <c r="G640" s="327"/>
      <c r="H640" s="312"/>
      <c r="I640" s="327"/>
      <c r="J640" s="327"/>
      <c r="K640" s="334"/>
      <c r="L640" s="322"/>
      <c r="M640" s="322"/>
      <c r="N640" s="327"/>
      <c r="O640" s="327"/>
      <c r="P640" s="331"/>
      <c r="Q640" s="327"/>
      <c r="R640" s="276"/>
      <c r="S640" s="322"/>
      <c r="T640" s="322"/>
      <c r="U640" s="327"/>
      <c r="V640" s="335"/>
      <c r="W640" s="327"/>
      <c r="X640" s="327"/>
      <c r="Y640" s="327"/>
      <c r="Z640" s="107"/>
      <c r="AA640" s="335"/>
      <c r="AB640" s="335"/>
      <c r="AC640" s="327"/>
      <c r="AD640" s="327"/>
      <c r="AE640" s="327"/>
      <c r="AF640" s="327"/>
      <c r="AG640" s="327"/>
      <c r="AH640" s="327"/>
      <c r="AI640" s="327"/>
      <c r="AJ640" s="327"/>
      <c r="AK640" s="336"/>
      <c r="AL640" s="42"/>
    </row>
    <row r="641" spans="2:38" x14ac:dyDescent="0.25">
      <c r="B641" s="327"/>
      <c r="C641" s="327"/>
      <c r="D641" s="327"/>
      <c r="E641" s="327"/>
      <c r="F641" s="327"/>
      <c r="G641" s="327"/>
      <c r="H641" s="312"/>
      <c r="I641" s="327"/>
      <c r="J641" s="327"/>
      <c r="K641" s="334"/>
      <c r="L641" s="322"/>
      <c r="M641" s="322"/>
      <c r="N641" s="327"/>
      <c r="O641" s="327"/>
      <c r="P641" s="331"/>
      <c r="Q641" s="327"/>
      <c r="R641" s="276"/>
      <c r="S641" s="322"/>
      <c r="T641" s="322"/>
      <c r="U641" s="327"/>
      <c r="V641" s="335"/>
      <c r="W641" s="327"/>
      <c r="X641" s="327"/>
      <c r="Y641" s="327"/>
      <c r="Z641" s="107"/>
      <c r="AA641" s="335"/>
      <c r="AB641" s="335"/>
      <c r="AC641" s="327"/>
      <c r="AD641" s="327"/>
      <c r="AE641" s="327"/>
      <c r="AF641" s="327"/>
      <c r="AG641" s="327"/>
      <c r="AH641" s="327"/>
      <c r="AI641" s="327"/>
      <c r="AJ641" s="327"/>
      <c r="AK641" s="336"/>
      <c r="AL641" s="42"/>
    </row>
    <row r="642" spans="2:38" x14ac:dyDescent="0.25">
      <c r="B642" s="327"/>
      <c r="C642" s="327"/>
      <c r="D642" s="327"/>
      <c r="E642" s="327"/>
      <c r="F642" s="327"/>
      <c r="G642" s="327"/>
      <c r="H642" s="312"/>
      <c r="I642" s="327"/>
      <c r="J642" s="327"/>
      <c r="K642" s="334"/>
      <c r="L642" s="322"/>
      <c r="M642" s="322"/>
      <c r="N642" s="327"/>
      <c r="O642" s="327"/>
      <c r="P642" s="331"/>
      <c r="Q642" s="327"/>
      <c r="R642" s="276"/>
      <c r="S642" s="322"/>
      <c r="T642" s="322"/>
      <c r="U642" s="327"/>
      <c r="V642" s="335"/>
      <c r="W642" s="327"/>
      <c r="X642" s="327"/>
      <c r="Y642" s="327"/>
      <c r="Z642" s="107"/>
      <c r="AA642" s="335"/>
      <c r="AB642" s="335"/>
      <c r="AC642" s="327"/>
      <c r="AD642" s="327"/>
      <c r="AE642" s="327"/>
      <c r="AF642" s="327"/>
      <c r="AG642" s="327"/>
      <c r="AH642" s="327"/>
      <c r="AI642" s="327"/>
      <c r="AJ642" s="327"/>
      <c r="AK642" s="336"/>
      <c r="AL642" s="42"/>
    </row>
    <row r="643" spans="2:38" x14ac:dyDescent="0.25">
      <c r="B643" s="327"/>
      <c r="C643" s="327"/>
      <c r="D643" s="327"/>
      <c r="E643" s="327"/>
      <c r="F643" s="327"/>
      <c r="G643" s="327"/>
      <c r="H643" s="312"/>
      <c r="I643" s="327"/>
      <c r="J643" s="327"/>
      <c r="K643" s="334"/>
      <c r="L643" s="322"/>
      <c r="M643" s="322"/>
      <c r="N643" s="327"/>
      <c r="O643" s="327"/>
      <c r="P643" s="331"/>
      <c r="Q643" s="327"/>
      <c r="R643" s="276"/>
      <c r="S643" s="322"/>
      <c r="T643" s="322"/>
      <c r="U643" s="327"/>
      <c r="V643" s="335"/>
      <c r="W643" s="327"/>
      <c r="X643" s="327"/>
      <c r="Y643" s="327"/>
      <c r="Z643" s="107"/>
      <c r="AA643" s="335"/>
      <c r="AB643" s="335"/>
      <c r="AC643" s="327"/>
      <c r="AD643" s="327"/>
      <c r="AE643" s="327"/>
      <c r="AF643" s="327"/>
      <c r="AG643" s="327"/>
      <c r="AH643" s="327"/>
      <c r="AI643" s="327"/>
      <c r="AJ643" s="327"/>
      <c r="AK643" s="336"/>
      <c r="AL643" s="42"/>
    </row>
    <row r="644" spans="2:38" x14ac:dyDescent="0.25">
      <c r="B644" s="327"/>
      <c r="C644" s="327"/>
      <c r="D644" s="327"/>
      <c r="E644" s="327"/>
      <c r="F644" s="327"/>
      <c r="G644" s="327"/>
      <c r="H644" s="312"/>
      <c r="I644" s="327"/>
      <c r="J644" s="327"/>
      <c r="K644" s="334"/>
      <c r="L644" s="322"/>
      <c r="M644" s="322"/>
      <c r="N644" s="327"/>
      <c r="O644" s="327"/>
      <c r="P644" s="331"/>
      <c r="Q644" s="327"/>
      <c r="R644" s="276"/>
      <c r="S644" s="322"/>
      <c r="T644" s="322"/>
      <c r="U644" s="327"/>
      <c r="V644" s="335"/>
      <c r="W644" s="327"/>
      <c r="X644" s="327"/>
      <c r="Y644" s="327"/>
      <c r="Z644" s="107"/>
      <c r="AA644" s="335"/>
      <c r="AB644" s="335"/>
      <c r="AC644" s="327"/>
      <c r="AD644" s="327"/>
      <c r="AE644" s="327"/>
      <c r="AF644" s="327"/>
      <c r="AG644" s="327"/>
      <c r="AH644" s="327"/>
      <c r="AI644" s="327"/>
      <c r="AJ644" s="327"/>
      <c r="AK644" s="336"/>
      <c r="AL644" s="42"/>
    </row>
    <row r="645" spans="2:38" x14ac:dyDescent="0.25">
      <c r="B645" s="327"/>
      <c r="C645" s="327"/>
      <c r="D645" s="327"/>
      <c r="E645" s="327"/>
      <c r="F645" s="327"/>
      <c r="G645" s="327"/>
      <c r="H645" s="312"/>
      <c r="I645" s="327"/>
      <c r="J645" s="327"/>
      <c r="K645" s="334"/>
      <c r="L645" s="322"/>
      <c r="M645" s="322"/>
      <c r="N645" s="327"/>
      <c r="O645" s="327"/>
      <c r="P645" s="331"/>
      <c r="Q645" s="327"/>
      <c r="R645" s="276"/>
      <c r="S645" s="322"/>
      <c r="T645" s="322"/>
      <c r="U645" s="327"/>
      <c r="V645" s="335"/>
      <c r="W645" s="327"/>
      <c r="X645" s="327"/>
      <c r="Y645" s="327"/>
      <c r="Z645" s="107"/>
      <c r="AA645" s="335"/>
      <c r="AB645" s="335"/>
      <c r="AC645" s="327"/>
      <c r="AD645" s="327"/>
      <c r="AE645" s="327"/>
      <c r="AF645" s="327"/>
      <c r="AG645" s="327"/>
      <c r="AH645" s="327"/>
      <c r="AI645" s="327"/>
      <c r="AJ645" s="327"/>
      <c r="AK645" s="336"/>
      <c r="AL645" s="42"/>
    </row>
    <row r="646" spans="2:38" x14ac:dyDescent="0.25">
      <c r="B646" s="327"/>
      <c r="C646" s="327"/>
      <c r="D646" s="327"/>
      <c r="E646" s="327"/>
      <c r="F646" s="327"/>
      <c r="G646" s="327"/>
      <c r="H646" s="312"/>
      <c r="I646" s="327"/>
      <c r="J646" s="327"/>
      <c r="K646" s="334"/>
      <c r="L646" s="322"/>
      <c r="M646" s="322"/>
      <c r="N646" s="327"/>
      <c r="O646" s="327"/>
      <c r="P646" s="331"/>
      <c r="Q646" s="327"/>
      <c r="R646" s="276"/>
      <c r="S646" s="322"/>
      <c r="T646" s="322"/>
      <c r="U646" s="327"/>
      <c r="V646" s="335"/>
      <c r="W646" s="327"/>
      <c r="X646" s="327"/>
      <c r="Y646" s="327"/>
      <c r="Z646" s="107"/>
      <c r="AA646" s="335"/>
      <c r="AB646" s="335"/>
      <c r="AC646" s="327"/>
      <c r="AD646" s="327"/>
      <c r="AE646" s="327"/>
      <c r="AF646" s="327"/>
      <c r="AG646" s="327"/>
      <c r="AH646" s="327"/>
      <c r="AI646" s="327"/>
      <c r="AJ646" s="327"/>
      <c r="AK646" s="336"/>
      <c r="AL646" s="42"/>
    </row>
    <row r="647" spans="2:38" x14ac:dyDescent="0.25">
      <c r="B647" s="327"/>
      <c r="C647" s="327"/>
      <c r="D647" s="327"/>
      <c r="E647" s="327"/>
      <c r="F647" s="327"/>
      <c r="G647" s="327"/>
      <c r="H647" s="312"/>
      <c r="I647" s="327"/>
      <c r="J647" s="327"/>
      <c r="K647" s="334"/>
      <c r="L647" s="322"/>
      <c r="M647" s="322"/>
      <c r="N647" s="327"/>
      <c r="O647" s="327"/>
      <c r="P647" s="331"/>
      <c r="Q647" s="327"/>
      <c r="R647" s="276"/>
      <c r="S647" s="322"/>
      <c r="T647" s="322"/>
      <c r="U647" s="327"/>
      <c r="V647" s="335"/>
      <c r="W647" s="327"/>
      <c r="X647" s="327"/>
      <c r="Y647" s="327"/>
      <c r="Z647" s="107"/>
      <c r="AA647" s="335"/>
      <c r="AB647" s="335"/>
      <c r="AC647" s="327"/>
      <c r="AD647" s="327"/>
      <c r="AE647" s="327"/>
      <c r="AF647" s="327"/>
      <c r="AG647" s="327"/>
      <c r="AH647" s="327"/>
      <c r="AI647" s="327"/>
      <c r="AJ647" s="327"/>
      <c r="AK647" s="336"/>
      <c r="AL647" s="42"/>
    </row>
    <row r="648" spans="2:38" x14ac:dyDescent="0.25">
      <c r="B648" s="327"/>
      <c r="C648" s="327"/>
      <c r="D648" s="327"/>
      <c r="E648" s="327"/>
      <c r="F648" s="327"/>
      <c r="G648" s="327"/>
      <c r="H648" s="312"/>
      <c r="I648" s="327"/>
      <c r="J648" s="327"/>
      <c r="K648" s="334"/>
      <c r="L648" s="322"/>
      <c r="M648" s="322"/>
      <c r="N648" s="327"/>
      <c r="O648" s="327"/>
      <c r="P648" s="331"/>
      <c r="Q648" s="327"/>
      <c r="R648" s="276"/>
      <c r="S648" s="322"/>
      <c r="T648" s="322"/>
      <c r="U648" s="327"/>
      <c r="V648" s="335"/>
      <c r="W648" s="327"/>
      <c r="X648" s="327"/>
      <c r="Y648" s="327"/>
      <c r="Z648" s="107"/>
      <c r="AA648" s="335"/>
      <c r="AB648" s="335"/>
      <c r="AC648" s="327"/>
      <c r="AD648" s="327"/>
      <c r="AE648" s="327"/>
      <c r="AF648" s="327"/>
      <c r="AG648" s="327"/>
      <c r="AH648" s="327"/>
      <c r="AI648" s="327"/>
      <c r="AJ648" s="327"/>
      <c r="AK648" s="336"/>
      <c r="AL648" s="42"/>
    </row>
    <row r="649" spans="2:38" x14ac:dyDescent="0.25">
      <c r="B649" s="327"/>
      <c r="C649" s="327"/>
      <c r="D649" s="327"/>
      <c r="E649" s="327"/>
      <c r="F649" s="327"/>
      <c r="G649" s="327"/>
      <c r="H649" s="312"/>
      <c r="I649" s="327"/>
      <c r="J649" s="327"/>
      <c r="K649" s="334"/>
      <c r="L649" s="322"/>
      <c r="M649" s="322"/>
      <c r="N649" s="327"/>
      <c r="O649" s="327"/>
      <c r="P649" s="331"/>
      <c r="Q649" s="327"/>
      <c r="R649" s="276"/>
      <c r="S649" s="322"/>
      <c r="T649" s="322"/>
      <c r="U649" s="327"/>
      <c r="V649" s="335"/>
      <c r="W649" s="327"/>
      <c r="X649" s="327"/>
      <c r="Y649" s="327"/>
      <c r="Z649" s="107"/>
      <c r="AA649" s="335"/>
      <c r="AB649" s="335"/>
      <c r="AC649" s="327"/>
      <c r="AD649" s="327"/>
      <c r="AE649" s="327"/>
      <c r="AF649" s="327"/>
      <c r="AG649" s="327"/>
      <c r="AH649" s="327"/>
      <c r="AI649" s="327"/>
      <c r="AJ649" s="327"/>
      <c r="AK649" s="336"/>
      <c r="AL649" s="42"/>
    </row>
    <row r="650" spans="2:38" x14ac:dyDescent="0.25">
      <c r="B650" s="327"/>
      <c r="C650" s="327"/>
      <c r="D650" s="327"/>
      <c r="E650" s="327"/>
      <c r="F650" s="327"/>
      <c r="G650" s="327"/>
      <c r="H650" s="312"/>
      <c r="I650" s="327"/>
      <c r="J650" s="327"/>
      <c r="K650" s="334"/>
      <c r="L650" s="322"/>
      <c r="M650" s="322"/>
      <c r="N650" s="327"/>
      <c r="O650" s="327"/>
      <c r="P650" s="331"/>
      <c r="Q650" s="327"/>
      <c r="R650" s="276"/>
      <c r="S650" s="322"/>
      <c r="T650" s="322"/>
      <c r="U650" s="327"/>
      <c r="V650" s="335"/>
      <c r="W650" s="327"/>
      <c r="X650" s="327"/>
      <c r="Y650" s="327"/>
      <c r="Z650" s="107"/>
      <c r="AA650" s="335"/>
      <c r="AB650" s="335"/>
      <c r="AC650" s="327"/>
      <c r="AD650" s="327"/>
      <c r="AE650" s="327"/>
      <c r="AF650" s="327"/>
      <c r="AG650" s="327"/>
      <c r="AH650" s="327"/>
      <c r="AI650" s="327"/>
      <c r="AJ650" s="327"/>
      <c r="AK650" s="336"/>
      <c r="AL650" s="42"/>
    </row>
    <row r="651" spans="2:38" x14ac:dyDescent="0.25">
      <c r="B651" s="327"/>
      <c r="C651" s="327"/>
      <c r="D651" s="327"/>
      <c r="E651" s="327"/>
      <c r="F651" s="327"/>
      <c r="G651" s="327"/>
      <c r="H651" s="312"/>
      <c r="I651" s="327"/>
      <c r="J651" s="327"/>
      <c r="K651" s="334"/>
      <c r="L651" s="322"/>
      <c r="M651" s="322"/>
      <c r="N651" s="327"/>
      <c r="O651" s="327"/>
      <c r="P651" s="331"/>
      <c r="Q651" s="327"/>
      <c r="R651" s="276"/>
      <c r="S651" s="322"/>
      <c r="T651" s="322"/>
      <c r="U651" s="327"/>
      <c r="V651" s="335"/>
      <c r="W651" s="327"/>
      <c r="X651" s="327"/>
      <c r="Y651" s="327"/>
      <c r="Z651" s="107"/>
      <c r="AA651" s="335"/>
      <c r="AB651" s="335"/>
      <c r="AC651" s="327"/>
      <c r="AD651" s="327"/>
      <c r="AE651" s="327"/>
      <c r="AF651" s="327"/>
      <c r="AG651" s="327"/>
      <c r="AH651" s="327"/>
      <c r="AI651" s="327"/>
      <c r="AJ651" s="327"/>
      <c r="AK651" s="336"/>
      <c r="AL651" s="42"/>
    </row>
    <row r="652" spans="2:38" x14ac:dyDescent="0.25">
      <c r="B652" s="327"/>
      <c r="C652" s="327"/>
      <c r="D652" s="327"/>
      <c r="E652" s="327"/>
      <c r="F652" s="327"/>
      <c r="G652" s="327"/>
      <c r="H652" s="312"/>
      <c r="I652" s="327"/>
      <c r="J652" s="327"/>
      <c r="K652" s="334"/>
      <c r="L652" s="322"/>
      <c r="M652" s="322"/>
      <c r="N652" s="327"/>
      <c r="O652" s="327"/>
      <c r="P652" s="331"/>
      <c r="Q652" s="327"/>
      <c r="R652" s="276"/>
      <c r="S652" s="322"/>
      <c r="T652" s="322"/>
      <c r="U652" s="327"/>
      <c r="V652" s="335"/>
      <c r="W652" s="327"/>
      <c r="X652" s="327"/>
      <c r="Y652" s="327"/>
      <c r="Z652" s="107"/>
      <c r="AA652" s="335"/>
      <c r="AB652" s="335"/>
      <c r="AC652" s="327"/>
      <c r="AD652" s="327"/>
      <c r="AE652" s="327"/>
      <c r="AF652" s="327"/>
      <c r="AG652" s="327"/>
      <c r="AH652" s="327"/>
      <c r="AI652" s="327"/>
      <c r="AJ652" s="327"/>
      <c r="AK652" s="336"/>
      <c r="AL652" s="42"/>
    </row>
    <row r="653" spans="2:38" x14ac:dyDescent="0.25">
      <c r="B653" s="327"/>
      <c r="C653" s="327"/>
      <c r="D653" s="327"/>
      <c r="E653" s="327"/>
      <c r="F653" s="327"/>
      <c r="G653" s="327"/>
      <c r="H653" s="312"/>
      <c r="I653" s="327"/>
      <c r="J653" s="327"/>
      <c r="K653" s="334"/>
      <c r="L653" s="322"/>
      <c r="M653" s="322"/>
      <c r="N653" s="327"/>
      <c r="O653" s="327"/>
      <c r="P653" s="331"/>
      <c r="Q653" s="327"/>
      <c r="R653" s="276"/>
      <c r="S653" s="322"/>
      <c r="T653" s="322"/>
      <c r="U653" s="327"/>
      <c r="V653" s="335"/>
      <c r="W653" s="327"/>
      <c r="X653" s="327"/>
      <c r="Y653" s="327"/>
      <c r="Z653" s="107"/>
      <c r="AA653" s="335"/>
      <c r="AB653" s="335"/>
      <c r="AC653" s="327"/>
      <c r="AD653" s="327"/>
      <c r="AE653" s="327"/>
      <c r="AF653" s="327"/>
      <c r="AG653" s="327"/>
      <c r="AH653" s="327"/>
      <c r="AI653" s="327"/>
      <c r="AJ653" s="327"/>
      <c r="AK653" s="336"/>
      <c r="AL653" s="42"/>
    </row>
    <row r="654" spans="2:38" x14ac:dyDescent="0.25">
      <c r="B654" s="327"/>
      <c r="C654" s="327"/>
      <c r="D654" s="327"/>
      <c r="E654" s="327"/>
      <c r="F654" s="327"/>
      <c r="G654" s="327"/>
      <c r="H654" s="312"/>
      <c r="I654" s="327"/>
      <c r="J654" s="327"/>
      <c r="K654" s="334"/>
      <c r="L654" s="322"/>
      <c r="M654" s="322"/>
      <c r="N654" s="327"/>
      <c r="O654" s="327"/>
      <c r="P654" s="331"/>
      <c r="Q654" s="327"/>
      <c r="R654" s="276"/>
      <c r="S654" s="322"/>
      <c r="T654" s="322"/>
      <c r="U654" s="327"/>
      <c r="V654" s="335"/>
      <c r="W654" s="327"/>
      <c r="X654" s="327"/>
      <c r="Y654" s="327"/>
      <c r="Z654" s="107"/>
      <c r="AA654" s="335"/>
      <c r="AB654" s="335"/>
      <c r="AC654" s="327"/>
      <c r="AD654" s="327"/>
      <c r="AE654" s="327"/>
      <c r="AF654" s="327"/>
      <c r="AG654" s="327"/>
      <c r="AH654" s="327"/>
      <c r="AI654" s="327"/>
      <c r="AJ654" s="327"/>
      <c r="AK654" s="336"/>
      <c r="AL654" s="42"/>
    </row>
    <row r="655" spans="2:38" x14ac:dyDescent="0.25">
      <c r="B655" s="327"/>
      <c r="C655" s="327"/>
      <c r="D655" s="327"/>
      <c r="E655" s="327"/>
      <c r="F655" s="327"/>
      <c r="G655" s="327"/>
      <c r="H655" s="312"/>
      <c r="I655" s="327"/>
      <c r="J655" s="327"/>
      <c r="K655" s="334"/>
      <c r="L655" s="322"/>
      <c r="M655" s="322"/>
      <c r="N655" s="327"/>
      <c r="O655" s="327"/>
      <c r="P655" s="331"/>
      <c r="Q655" s="327"/>
      <c r="R655" s="276"/>
      <c r="S655" s="322"/>
      <c r="T655" s="322"/>
      <c r="U655" s="327"/>
      <c r="V655" s="335"/>
      <c r="W655" s="327"/>
      <c r="X655" s="327"/>
      <c r="Y655" s="327"/>
      <c r="Z655" s="107"/>
      <c r="AA655" s="335"/>
      <c r="AB655" s="335"/>
      <c r="AC655" s="327"/>
      <c r="AD655" s="327"/>
      <c r="AE655" s="327"/>
      <c r="AF655" s="327"/>
      <c r="AG655" s="327"/>
      <c r="AH655" s="327"/>
      <c r="AI655" s="327"/>
      <c r="AJ655" s="327"/>
      <c r="AK655" s="336"/>
      <c r="AL655" s="42"/>
    </row>
    <row r="656" spans="2:38" x14ac:dyDescent="0.25">
      <c r="B656" s="327"/>
      <c r="C656" s="327"/>
      <c r="D656" s="327"/>
      <c r="E656" s="327"/>
      <c r="F656" s="327"/>
      <c r="G656" s="327"/>
      <c r="H656" s="312"/>
      <c r="I656" s="327"/>
      <c r="J656" s="327"/>
      <c r="K656" s="334"/>
      <c r="L656" s="322"/>
      <c r="M656" s="322"/>
      <c r="N656" s="327"/>
      <c r="O656" s="327"/>
      <c r="P656" s="331"/>
      <c r="Q656" s="327"/>
      <c r="R656" s="276"/>
      <c r="S656" s="322"/>
      <c r="T656" s="322"/>
      <c r="U656" s="327"/>
      <c r="V656" s="335"/>
      <c r="W656" s="327"/>
      <c r="X656" s="327"/>
      <c r="Y656" s="327"/>
      <c r="Z656" s="107"/>
      <c r="AA656" s="335"/>
      <c r="AB656" s="335"/>
      <c r="AC656" s="327"/>
      <c r="AD656" s="327"/>
      <c r="AE656" s="327"/>
      <c r="AF656" s="327"/>
      <c r="AG656" s="327"/>
      <c r="AH656" s="327"/>
      <c r="AI656" s="327"/>
      <c r="AJ656" s="327"/>
      <c r="AK656" s="336"/>
      <c r="AL656" s="42"/>
    </row>
    <row r="657" spans="2:38" x14ac:dyDescent="0.25">
      <c r="B657" s="327"/>
      <c r="C657" s="327"/>
      <c r="D657" s="327"/>
      <c r="E657" s="327"/>
      <c r="F657" s="327"/>
      <c r="G657" s="327"/>
      <c r="H657" s="312"/>
      <c r="I657" s="327"/>
      <c r="J657" s="327"/>
      <c r="K657" s="334"/>
      <c r="L657" s="322"/>
      <c r="M657" s="322"/>
      <c r="N657" s="327"/>
      <c r="O657" s="327"/>
      <c r="P657" s="331"/>
      <c r="Q657" s="327"/>
      <c r="R657" s="276"/>
      <c r="S657" s="322"/>
      <c r="T657" s="322"/>
      <c r="U657" s="327"/>
      <c r="V657" s="335"/>
      <c r="W657" s="327"/>
      <c r="X657" s="327"/>
      <c r="Y657" s="327"/>
      <c r="Z657" s="107"/>
      <c r="AA657" s="335"/>
      <c r="AB657" s="335"/>
      <c r="AC657" s="327"/>
      <c r="AD657" s="327"/>
      <c r="AE657" s="327"/>
      <c r="AF657" s="327"/>
      <c r="AG657" s="327"/>
      <c r="AH657" s="327"/>
      <c r="AI657" s="327"/>
      <c r="AJ657" s="327"/>
      <c r="AK657" s="336"/>
      <c r="AL657" s="42"/>
    </row>
    <row r="658" spans="2:38" x14ac:dyDescent="0.25">
      <c r="B658" s="327"/>
      <c r="C658" s="327"/>
      <c r="D658" s="327"/>
      <c r="E658" s="327"/>
      <c r="F658" s="327"/>
      <c r="G658" s="327"/>
      <c r="H658" s="312"/>
      <c r="I658" s="327"/>
      <c r="J658" s="327"/>
      <c r="K658" s="334"/>
      <c r="L658" s="322"/>
      <c r="M658" s="322"/>
      <c r="N658" s="327"/>
      <c r="O658" s="327"/>
      <c r="P658" s="331"/>
      <c r="Q658" s="327"/>
      <c r="R658" s="276"/>
      <c r="S658" s="322"/>
      <c r="T658" s="322"/>
      <c r="U658" s="327"/>
      <c r="V658" s="335"/>
      <c r="W658" s="327"/>
      <c r="X658" s="327"/>
      <c r="Y658" s="327"/>
      <c r="Z658" s="107"/>
      <c r="AA658" s="335"/>
      <c r="AB658" s="335"/>
      <c r="AC658" s="327"/>
      <c r="AD658" s="327"/>
      <c r="AE658" s="327"/>
      <c r="AF658" s="327"/>
      <c r="AG658" s="327"/>
      <c r="AH658" s="327"/>
      <c r="AI658" s="327"/>
      <c r="AJ658" s="327"/>
      <c r="AK658" s="336"/>
      <c r="AL658" s="42"/>
    </row>
    <row r="659" spans="2:38" x14ac:dyDescent="0.25">
      <c r="B659" s="327"/>
      <c r="C659" s="327"/>
      <c r="D659" s="327"/>
      <c r="E659" s="327"/>
      <c r="F659" s="327"/>
      <c r="G659" s="327"/>
      <c r="H659" s="312"/>
      <c r="I659" s="327"/>
      <c r="J659" s="327"/>
      <c r="K659" s="334"/>
      <c r="L659" s="322"/>
      <c r="M659" s="322"/>
      <c r="N659" s="327"/>
      <c r="O659" s="327"/>
      <c r="P659" s="331"/>
      <c r="Q659" s="327"/>
      <c r="R659" s="276"/>
      <c r="S659" s="322"/>
      <c r="T659" s="322"/>
      <c r="U659" s="327"/>
      <c r="V659" s="335"/>
      <c r="W659" s="327"/>
      <c r="X659" s="327"/>
      <c r="Y659" s="327"/>
      <c r="Z659" s="107"/>
      <c r="AA659" s="335"/>
      <c r="AB659" s="335"/>
      <c r="AC659" s="327"/>
      <c r="AD659" s="327"/>
      <c r="AE659" s="327"/>
      <c r="AF659" s="327"/>
      <c r="AG659" s="327"/>
      <c r="AH659" s="327"/>
      <c r="AI659" s="327"/>
      <c r="AJ659" s="327"/>
      <c r="AK659" s="336"/>
      <c r="AL659" s="42"/>
    </row>
    <row r="660" spans="2:38" x14ac:dyDescent="0.25">
      <c r="B660" s="327"/>
      <c r="C660" s="327"/>
      <c r="D660" s="327"/>
      <c r="E660" s="327"/>
      <c r="F660" s="327"/>
      <c r="G660" s="327"/>
      <c r="H660" s="312"/>
      <c r="I660" s="327"/>
      <c r="J660" s="327"/>
      <c r="K660" s="334"/>
      <c r="L660" s="322"/>
      <c r="M660" s="322"/>
      <c r="N660" s="327"/>
      <c r="O660" s="327"/>
      <c r="P660" s="331"/>
      <c r="Q660" s="327"/>
      <c r="R660" s="276"/>
      <c r="S660" s="322"/>
      <c r="T660" s="322"/>
      <c r="U660" s="327"/>
      <c r="V660" s="335"/>
      <c r="W660" s="327"/>
      <c r="X660" s="327"/>
      <c r="Y660" s="327"/>
      <c r="Z660" s="107"/>
      <c r="AA660" s="335"/>
      <c r="AB660" s="335"/>
      <c r="AC660" s="327"/>
      <c r="AD660" s="327"/>
      <c r="AE660" s="327"/>
      <c r="AF660" s="327"/>
      <c r="AG660" s="327"/>
      <c r="AH660" s="327"/>
      <c r="AI660" s="327"/>
      <c r="AJ660" s="327"/>
      <c r="AK660" s="336"/>
      <c r="AL660" s="42"/>
    </row>
    <row r="661" spans="2:38" x14ac:dyDescent="0.25">
      <c r="B661" s="327"/>
      <c r="C661" s="327"/>
      <c r="D661" s="327"/>
      <c r="E661" s="327"/>
      <c r="F661" s="327"/>
      <c r="G661" s="327"/>
      <c r="H661" s="312"/>
      <c r="I661" s="327"/>
      <c r="J661" s="327"/>
      <c r="K661" s="334"/>
      <c r="L661" s="322"/>
      <c r="M661" s="322"/>
      <c r="N661" s="327"/>
      <c r="O661" s="327"/>
      <c r="P661" s="331"/>
      <c r="Q661" s="327"/>
      <c r="R661" s="276"/>
      <c r="S661" s="322"/>
      <c r="T661" s="322"/>
      <c r="U661" s="327"/>
      <c r="V661" s="335"/>
      <c r="W661" s="327"/>
      <c r="X661" s="327"/>
      <c r="Y661" s="327"/>
      <c r="Z661" s="107"/>
      <c r="AA661" s="335"/>
      <c r="AB661" s="335"/>
      <c r="AC661" s="327"/>
      <c r="AD661" s="327"/>
      <c r="AE661" s="327"/>
      <c r="AF661" s="327"/>
      <c r="AG661" s="327"/>
      <c r="AH661" s="327"/>
      <c r="AI661" s="327"/>
      <c r="AJ661" s="327"/>
      <c r="AK661" s="336"/>
      <c r="AL661" s="42"/>
    </row>
    <row r="662" spans="2:38" x14ac:dyDescent="0.25">
      <c r="B662" s="327"/>
      <c r="C662" s="327"/>
      <c r="D662" s="327"/>
      <c r="E662" s="327"/>
      <c r="F662" s="327"/>
      <c r="G662" s="327"/>
      <c r="H662" s="312"/>
      <c r="I662" s="327"/>
      <c r="J662" s="327"/>
      <c r="K662" s="334"/>
      <c r="L662" s="322"/>
      <c r="M662" s="322"/>
      <c r="N662" s="327"/>
      <c r="O662" s="327"/>
      <c r="P662" s="331"/>
      <c r="Q662" s="327"/>
      <c r="R662" s="276"/>
      <c r="S662" s="322"/>
      <c r="T662" s="322"/>
      <c r="U662" s="327"/>
      <c r="V662" s="335"/>
      <c r="W662" s="327"/>
      <c r="X662" s="327"/>
      <c r="Y662" s="327"/>
      <c r="Z662" s="107"/>
      <c r="AA662" s="335"/>
      <c r="AB662" s="335"/>
      <c r="AC662" s="327"/>
      <c r="AD662" s="327"/>
      <c r="AE662" s="327"/>
      <c r="AF662" s="327"/>
      <c r="AG662" s="327"/>
      <c r="AH662" s="327"/>
      <c r="AI662" s="327"/>
      <c r="AJ662" s="327"/>
      <c r="AK662" s="336"/>
      <c r="AL662" s="42"/>
    </row>
    <row r="663" spans="2:38" x14ac:dyDescent="0.25">
      <c r="B663" s="327"/>
      <c r="C663" s="327"/>
      <c r="D663" s="327"/>
      <c r="E663" s="327"/>
      <c r="F663" s="327"/>
      <c r="G663" s="327"/>
      <c r="H663" s="312"/>
      <c r="I663" s="327"/>
      <c r="J663" s="327"/>
      <c r="K663" s="334"/>
      <c r="L663" s="322"/>
      <c r="M663" s="322"/>
      <c r="N663" s="327"/>
      <c r="O663" s="327"/>
      <c r="P663" s="331"/>
      <c r="Q663" s="327"/>
      <c r="R663" s="276"/>
      <c r="S663" s="322"/>
      <c r="T663" s="322"/>
      <c r="U663" s="327"/>
      <c r="V663" s="335"/>
      <c r="W663" s="327"/>
      <c r="X663" s="327"/>
      <c r="Y663" s="327"/>
      <c r="Z663" s="107"/>
      <c r="AA663" s="335"/>
      <c r="AB663" s="335"/>
      <c r="AC663" s="327"/>
      <c r="AD663" s="327"/>
      <c r="AE663" s="327"/>
      <c r="AF663" s="327"/>
      <c r="AG663" s="327"/>
      <c r="AH663" s="327"/>
      <c r="AI663" s="327"/>
      <c r="AJ663" s="327"/>
      <c r="AK663" s="336"/>
      <c r="AL663" s="42"/>
    </row>
    <row r="664" spans="2:38" x14ac:dyDescent="0.25">
      <c r="B664" s="327"/>
      <c r="C664" s="327"/>
      <c r="D664" s="327"/>
      <c r="E664" s="327"/>
      <c r="F664" s="327"/>
      <c r="G664" s="327"/>
      <c r="H664" s="312"/>
      <c r="I664" s="327"/>
      <c r="J664" s="327"/>
      <c r="K664" s="334"/>
      <c r="L664" s="322"/>
      <c r="M664" s="322"/>
      <c r="N664" s="327"/>
      <c r="O664" s="327"/>
      <c r="P664" s="331"/>
      <c r="Q664" s="327"/>
      <c r="R664" s="276"/>
      <c r="S664" s="322"/>
      <c r="T664" s="322"/>
      <c r="U664" s="327"/>
      <c r="V664" s="335"/>
      <c r="W664" s="327"/>
      <c r="X664" s="327"/>
      <c r="Y664" s="327"/>
      <c r="Z664" s="107"/>
      <c r="AA664" s="335"/>
      <c r="AB664" s="335"/>
      <c r="AC664" s="327"/>
      <c r="AD664" s="327"/>
      <c r="AE664" s="327"/>
      <c r="AF664" s="327"/>
      <c r="AG664" s="327"/>
      <c r="AH664" s="327"/>
      <c r="AI664" s="327"/>
      <c r="AJ664" s="327"/>
      <c r="AK664" s="336"/>
      <c r="AL664" s="42"/>
    </row>
    <row r="665" spans="2:38" x14ac:dyDescent="0.25">
      <c r="B665" s="327"/>
      <c r="C665" s="327"/>
      <c r="D665" s="327"/>
      <c r="E665" s="327"/>
      <c r="F665" s="327"/>
      <c r="G665" s="327"/>
      <c r="H665" s="312"/>
      <c r="I665" s="327"/>
      <c r="J665" s="327"/>
      <c r="K665" s="334"/>
      <c r="L665" s="322"/>
      <c r="M665" s="322"/>
      <c r="N665" s="327"/>
      <c r="O665" s="327"/>
      <c r="P665" s="331"/>
      <c r="Q665" s="327"/>
      <c r="R665" s="276"/>
      <c r="S665" s="322"/>
      <c r="T665" s="322"/>
      <c r="U665" s="327"/>
      <c r="V665" s="335"/>
      <c r="W665" s="327"/>
      <c r="X665" s="327"/>
      <c r="Y665" s="327"/>
      <c r="Z665" s="107"/>
      <c r="AA665" s="335"/>
      <c r="AB665" s="335"/>
      <c r="AC665" s="327"/>
      <c r="AD665" s="327"/>
      <c r="AE665" s="327"/>
      <c r="AF665" s="327"/>
      <c r="AG665" s="327"/>
      <c r="AH665" s="327"/>
      <c r="AI665" s="327"/>
      <c r="AJ665" s="327"/>
      <c r="AK665" s="336"/>
      <c r="AL665" s="42"/>
    </row>
    <row r="666" spans="2:38" x14ac:dyDescent="0.25">
      <c r="B666" s="327"/>
      <c r="C666" s="327"/>
      <c r="D666" s="327"/>
      <c r="E666" s="327"/>
      <c r="F666" s="327"/>
      <c r="G666" s="327"/>
      <c r="H666" s="312"/>
      <c r="I666" s="327"/>
      <c r="J666" s="327"/>
      <c r="K666" s="334"/>
      <c r="L666" s="322"/>
      <c r="M666" s="322"/>
      <c r="N666" s="327"/>
      <c r="O666" s="327"/>
      <c r="P666" s="331"/>
      <c r="Q666" s="327"/>
      <c r="R666" s="276"/>
      <c r="S666" s="322"/>
      <c r="T666" s="322"/>
      <c r="U666" s="327"/>
      <c r="V666" s="335"/>
      <c r="W666" s="327"/>
      <c r="X666" s="327"/>
      <c r="Y666" s="327"/>
      <c r="Z666" s="107"/>
      <c r="AA666" s="335"/>
      <c r="AB666" s="335"/>
      <c r="AC666" s="327"/>
      <c r="AD666" s="327"/>
      <c r="AE666" s="327"/>
      <c r="AF666" s="327"/>
      <c r="AG666" s="327"/>
      <c r="AH666" s="327"/>
      <c r="AI666" s="327"/>
      <c r="AJ666" s="327"/>
      <c r="AK666" s="336"/>
      <c r="AL666" s="42"/>
    </row>
    <row r="667" spans="2:38" x14ac:dyDescent="0.25">
      <c r="B667" s="327"/>
      <c r="C667" s="327"/>
      <c r="D667" s="327"/>
      <c r="E667" s="327"/>
      <c r="F667" s="327"/>
      <c r="G667" s="327"/>
      <c r="H667" s="312"/>
      <c r="I667" s="327"/>
      <c r="J667" s="327"/>
      <c r="K667" s="334"/>
      <c r="L667" s="322"/>
      <c r="M667" s="322"/>
      <c r="N667" s="327"/>
      <c r="O667" s="327"/>
      <c r="P667" s="331"/>
      <c r="Q667" s="327"/>
      <c r="R667" s="276"/>
      <c r="S667" s="322"/>
      <c r="T667" s="322"/>
      <c r="U667" s="327"/>
      <c r="V667" s="335"/>
      <c r="W667" s="327"/>
      <c r="X667" s="327"/>
      <c r="Y667" s="327"/>
      <c r="Z667" s="107"/>
      <c r="AA667" s="335"/>
      <c r="AB667" s="335"/>
      <c r="AC667" s="327"/>
      <c r="AD667" s="327"/>
      <c r="AE667" s="327"/>
      <c r="AF667" s="327"/>
      <c r="AG667" s="327"/>
      <c r="AH667" s="327"/>
      <c r="AI667" s="327"/>
      <c r="AJ667" s="327"/>
      <c r="AK667" s="336"/>
      <c r="AL667" s="42"/>
    </row>
    <row r="668" spans="2:38" x14ac:dyDescent="0.25">
      <c r="B668" s="327"/>
      <c r="C668" s="327"/>
      <c r="D668" s="327"/>
      <c r="E668" s="327"/>
      <c r="F668" s="327"/>
      <c r="G668" s="327"/>
      <c r="H668" s="312"/>
      <c r="I668" s="327"/>
      <c r="J668" s="327"/>
      <c r="K668" s="334"/>
      <c r="L668" s="322"/>
      <c r="M668" s="322"/>
      <c r="N668" s="327"/>
      <c r="O668" s="327"/>
      <c r="P668" s="331"/>
      <c r="Q668" s="327"/>
      <c r="R668" s="276"/>
      <c r="S668" s="322"/>
      <c r="T668" s="322"/>
      <c r="U668" s="327"/>
      <c r="V668" s="335"/>
      <c r="W668" s="327"/>
      <c r="X668" s="327"/>
      <c r="Y668" s="327"/>
      <c r="Z668" s="107"/>
      <c r="AA668" s="335"/>
      <c r="AB668" s="335"/>
      <c r="AC668" s="327"/>
      <c r="AD668" s="327"/>
      <c r="AE668" s="327"/>
      <c r="AF668" s="327"/>
      <c r="AG668" s="327"/>
      <c r="AH668" s="327"/>
      <c r="AI668" s="327"/>
      <c r="AJ668" s="327"/>
      <c r="AK668" s="336"/>
      <c r="AL668" s="42"/>
    </row>
    <row r="669" spans="2:38" x14ac:dyDescent="0.25">
      <c r="B669" s="327"/>
      <c r="C669" s="327"/>
      <c r="D669" s="327"/>
      <c r="E669" s="327"/>
      <c r="F669" s="327"/>
      <c r="G669" s="327"/>
      <c r="H669" s="312"/>
      <c r="I669" s="327"/>
      <c r="J669" s="327"/>
      <c r="K669" s="334"/>
      <c r="L669" s="322"/>
      <c r="M669" s="322"/>
      <c r="N669" s="327"/>
      <c r="O669" s="327"/>
      <c r="P669" s="331"/>
      <c r="Q669" s="327"/>
      <c r="R669" s="276"/>
      <c r="S669" s="322"/>
      <c r="T669" s="322"/>
      <c r="U669" s="327"/>
      <c r="V669" s="335"/>
      <c r="W669" s="327"/>
      <c r="X669" s="327"/>
      <c r="Y669" s="327"/>
      <c r="Z669" s="107"/>
      <c r="AA669" s="335"/>
      <c r="AB669" s="335"/>
      <c r="AC669" s="327"/>
      <c r="AD669" s="327"/>
      <c r="AE669" s="327"/>
      <c r="AF669" s="327"/>
      <c r="AG669" s="327"/>
      <c r="AH669" s="327"/>
      <c r="AI669" s="327"/>
      <c r="AJ669" s="327"/>
      <c r="AK669" s="336"/>
      <c r="AL669" s="42"/>
    </row>
    <row r="670" spans="2:38" x14ac:dyDescent="0.25">
      <c r="B670" s="327"/>
      <c r="C670" s="327"/>
      <c r="D670" s="327"/>
      <c r="E670" s="327"/>
      <c r="F670" s="327"/>
      <c r="G670" s="327"/>
      <c r="H670" s="312"/>
      <c r="I670" s="327"/>
      <c r="J670" s="327"/>
      <c r="K670" s="334"/>
      <c r="L670" s="322"/>
      <c r="M670" s="322"/>
      <c r="N670" s="327"/>
      <c r="O670" s="327"/>
      <c r="P670" s="331"/>
      <c r="Q670" s="327"/>
      <c r="R670" s="276"/>
      <c r="S670" s="322"/>
      <c r="T670" s="322"/>
      <c r="U670" s="327"/>
      <c r="V670" s="335"/>
      <c r="W670" s="327"/>
      <c r="X670" s="327"/>
      <c r="Y670" s="327"/>
      <c r="Z670" s="107"/>
      <c r="AA670" s="335"/>
      <c r="AB670" s="335"/>
      <c r="AC670" s="327"/>
      <c r="AD670" s="327"/>
      <c r="AE670" s="327"/>
      <c r="AF670" s="327"/>
      <c r="AG670" s="327"/>
      <c r="AH670" s="327"/>
      <c r="AI670" s="327"/>
      <c r="AJ670" s="327"/>
      <c r="AK670" s="336"/>
      <c r="AL670" s="42"/>
    </row>
    <row r="671" spans="2:38" x14ac:dyDescent="0.25">
      <c r="B671" s="327"/>
      <c r="C671" s="327"/>
      <c r="D671" s="327"/>
      <c r="E671" s="327"/>
      <c r="F671" s="327"/>
      <c r="G671" s="327"/>
      <c r="H671" s="312"/>
      <c r="I671" s="327"/>
      <c r="J671" s="327"/>
      <c r="K671" s="334"/>
      <c r="L671" s="322"/>
      <c r="M671" s="322"/>
      <c r="N671" s="327"/>
      <c r="O671" s="327"/>
      <c r="P671" s="331"/>
      <c r="Q671" s="327"/>
      <c r="R671" s="276"/>
      <c r="S671" s="322"/>
      <c r="T671" s="322"/>
      <c r="U671" s="327"/>
      <c r="V671" s="335"/>
      <c r="W671" s="327"/>
      <c r="X671" s="327"/>
      <c r="Y671" s="327"/>
      <c r="Z671" s="107"/>
      <c r="AA671" s="335"/>
      <c r="AB671" s="335"/>
      <c r="AC671" s="327"/>
      <c r="AD671" s="327"/>
      <c r="AE671" s="327"/>
      <c r="AF671" s="327"/>
      <c r="AG671" s="327"/>
      <c r="AH671" s="327"/>
      <c r="AI671" s="327"/>
      <c r="AJ671" s="327"/>
      <c r="AK671" s="336"/>
      <c r="AL671" s="42"/>
    </row>
    <row r="672" spans="2:38" x14ac:dyDescent="0.25">
      <c r="B672" s="327"/>
      <c r="C672" s="327"/>
      <c r="D672" s="327"/>
      <c r="E672" s="327"/>
      <c r="F672" s="327"/>
      <c r="G672" s="327"/>
      <c r="H672" s="312"/>
      <c r="I672" s="327"/>
      <c r="J672" s="327"/>
      <c r="K672" s="334"/>
      <c r="L672" s="322"/>
      <c r="M672" s="322"/>
      <c r="N672" s="327"/>
      <c r="O672" s="327"/>
      <c r="P672" s="331"/>
      <c r="Q672" s="327"/>
      <c r="R672" s="276"/>
      <c r="S672" s="322"/>
      <c r="T672" s="322"/>
      <c r="U672" s="327"/>
      <c r="V672" s="335"/>
      <c r="W672" s="327"/>
      <c r="X672" s="327"/>
      <c r="Y672" s="327"/>
      <c r="Z672" s="107"/>
      <c r="AA672" s="335"/>
      <c r="AB672" s="335"/>
      <c r="AC672" s="327"/>
      <c r="AD672" s="327"/>
      <c r="AE672" s="327"/>
      <c r="AF672" s="327"/>
      <c r="AG672" s="327"/>
      <c r="AH672" s="327"/>
      <c r="AI672" s="327"/>
      <c r="AJ672" s="327"/>
      <c r="AK672" s="336"/>
      <c r="AL672" s="42"/>
    </row>
    <row r="673" spans="2:38" x14ac:dyDescent="0.25">
      <c r="B673" s="327"/>
      <c r="C673" s="327"/>
      <c r="D673" s="327"/>
      <c r="E673" s="327"/>
      <c r="F673" s="327"/>
      <c r="G673" s="327"/>
      <c r="H673" s="312"/>
      <c r="I673" s="327"/>
      <c r="J673" s="327"/>
      <c r="K673" s="334"/>
      <c r="L673" s="322"/>
      <c r="M673" s="322"/>
      <c r="N673" s="327"/>
      <c r="O673" s="327"/>
      <c r="P673" s="331"/>
      <c r="Q673" s="327"/>
      <c r="R673" s="276"/>
      <c r="S673" s="322"/>
      <c r="T673" s="322"/>
      <c r="U673" s="327"/>
      <c r="V673" s="335"/>
      <c r="W673" s="327"/>
      <c r="X673" s="327"/>
      <c r="Y673" s="327"/>
      <c r="Z673" s="107"/>
      <c r="AA673" s="335"/>
      <c r="AB673" s="335"/>
      <c r="AC673" s="327"/>
      <c r="AD673" s="327"/>
      <c r="AE673" s="327"/>
      <c r="AF673" s="327"/>
      <c r="AG673" s="327"/>
      <c r="AH673" s="327"/>
      <c r="AI673" s="327"/>
      <c r="AJ673" s="327"/>
      <c r="AK673" s="336"/>
      <c r="AL673" s="42"/>
    </row>
    <row r="674" spans="2:38" x14ac:dyDescent="0.25">
      <c r="B674" s="327"/>
      <c r="C674" s="327"/>
      <c r="D674" s="327"/>
      <c r="E674" s="327"/>
      <c r="F674" s="327"/>
      <c r="G674" s="327"/>
      <c r="H674" s="312"/>
      <c r="I674" s="327"/>
      <c r="J674" s="327"/>
      <c r="K674" s="334"/>
      <c r="L674" s="322"/>
      <c r="M674" s="322"/>
      <c r="N674" s="327"/>
      <c r="O674" s="327"/>
      <c r="P674" s="331"/>
      <c r="Q674" s="327"/>
      <c r="R674" s="276"/>
      <c r="S674" s="322"/>
      <c r="T674" s="322"/>
      <c r="U674" s="327"/>
      <c r="V674" s="335"/>
      <c r="W674" s="327"/>
      <c r="X674" s="327"/>
      <c r="Y674" s="327"/>
      <c r="Z674" s="107"/>
      <c r="AA674" s="335"/>
      <c r="AB674" s="335"/>
      <c r="AC674" s="327"/>
      <c r="AD674" s="327"/>
      <c r="AE674" s="327"/>
      <c r="AF674" s="327"/>
      <c r="AG674" s="327"/>
      <c r="AH674" s="327"/>
      <c r="AI674" s="327"/>
      <c r="AJ674" s="327"/>
      <c r="AK674" s="336"/>
      <c r="AL674" s="42"/>
    </row>
    <row r="675" spans="2:38" x14ac:dyDescent="0.25">
      <c r="B675" s="327"/>
      <c r="C675" s="327"/>
      <c r="D675" s="327"/>
      <c r="E675" s="327"/>
      <c r="F675" s="327"/>
      <c r="G675" s="327"/>
      <c r="H675" s="312"/>
      <c r="I675" s="327"/>
      <c r="J675" s="327"/>
      <c r="K675" s="334"/>
      <c r="L675" s="322"/>
      <c r="M675" s="322"/>
      <c r="N675" s="327"/>
      <c r="O675" s="327"/>
      <c r="P675" s="331"/>
      <c r="Q675" s="327"/>
      <c r="R675" s="276"/>
      <c r="S675" s="322"/>
      <c r="T675" s="322"/>
      <c r="U675" s="327"/>
      <c r="V675" s="335"/>
      <c r="W675" s="327"/>
      <c r="X675" s="327"/>
      <c r="Y675" s="327"/>
      <c r="Z675" s="107"/>
      <c r="AA675" s="335"/>
      <c r="AB675" s="335"/>
      <c r="AC675" s="327"/>
      <c r="AD675" s="327"/>
      <c r="AE675" s="327"/>
      <c r="AF675" s="327"/>
      <c r="AG675" s="327"/>
      <c r="AH675" s="327"/>
      <c r="AI675" s="327"/>
      <c r="AJ675" s="327"/>
      <c r="AK675" s="336"/>
      <c r="AL675" s="42"/>
    </row>
    <row r="676" spans="2:38" x14ac:dyDescent="0.25">
      <c r="B676" s="327"/>
      <c r="C676" s="327"/>
      <c r="D676" s="327"/>
      <c r="E676" s="327"/>
      <c r="F676" s="327"/>
      <c r="G676" s="327"/>
      <c r="H676" s="312"/>
      <c r="I676" s="327"/>
      <c r="J676" s="327"/>
      <c r="K676" s="334"/>
      <c r="L676" s="322"/>
      <c r="M676" s="322"/>
      <c r="N676" s="327"/>
      <c r="O676" s="327"/>
      <c r="P676" s="331"/>
      <c r="Q676" s="327"/>
      <c r="R676" s="276"/>
      <c r="S676" s="322"/>
      <c r="T676" s="322"/>
      <c r="U676" s="327"/>
      <c r="V676" s="335"/>
      <c r="W676" s="327"/>
      <c r="X676" s="327"/>
      <c r="Y676" s="327"/>
      <c r="Z676" s="107"/>
      <c r="AA676" s="335"/>
      <c r="AB676" s="335"/>
      <c r="AC676" s="327"/>
      <c r="AD676" s="327"/>
      <c r="AE676" s="327"/>
      <c r="AF676" s="327"/>
      <c r="AG676" s="327"/>
      <c r="AH676" s="327"/>
      <c r="AI676" s="327"/>
      <c r="AJ676" s="327"/>
      <c r="AK676" s="336"/>
      <c r="AL676" s="42"/>
    </row>
    <row r="677" spans="2:38" x14ac:dyDescent="0.25">
      <c r="B677" s="327"/>
      <c r="C677" s="327"/>
      <c r="D677" s="327"/>
      <c r="E677" s="327"/>
      <c r="F677" s="327"/>
      <c r="G677" s="327"/>
      <c r="H677" s="312"/>
      <c r="I677" s="327"/>
      <c r="J677" s="327"/>
      <c r="K677" s="334"/>
      <c r="L677" s="322"/>
      <c r="M677" s="322"/>
      <c r="N677" s="327"/>
      <c r="O677" s="327"/>
      <c r="P677" s="331"/>
      <c r="Q677" s="327"/>
      <c r="R677" s="276"/>
      <c r="S677" s="322"/>
      <c r="T677" s="322"/>
      <c r="U677" s="327"/>
      <c r="V677" s="335"/>
      <c r="W677" s="327"/>
      <c r="X677" s="327"/>
      <c r="Y677" s="327"/>
      <c r="Z677" s="107"/>
      <c r="AA677" s="335"/>
      <c r="AB677" s="335"/>
      <c r="AC677" s="327"/>
      <c r="AD677" s="327"/>
      <c r="AE677" s="327"/>
      <c r="AF677" s="327"/>
      <c r="AG677" s="327"/>
      <c r="AH677" s="327"/>
      <c r="AI677" s="327"/>
      <c r="AJ677" s="327"/>
      <c r="AK677" s="336"/>
      <c r="AL677" s="42"/>
    </row>
    <row r="678" spans="2:38" x14ac:dyDescent="0.25">
      <c r="B678" s="327"/>
      <c r="C678" s="327"/>
      <c r="D678" s="327"/>
      <c r="E678" s="327"/>
      <c r="F678" s="327"/>
      <c r="G678" s="327"/>
      <c r="H678" s="312"/>
      <c r="I678" s="327"/>
      <c r="J678" s="327"/>
      <c r="K678" s="334"/>
      <c r="L678" s="322"/>
      <c r="M678" s="322"/>
      <c r="N678" s="327"/>
      <c r="O678" s="327"/>
      <c r="P678" s="331"/>
      <c r="Q678" s="327"/>
      <c r="R678" s="276"/>
      <c r="S678" s="322"/>
      <c r="T678" s="322"/>
      <c r="U678" s="327"/>
      <c r="V678" s="335"/>
      <c r="W678" s="327"/>
      <c r="X678" s="327"/>
      <c r="Y678" s="327"/>
      <c r="Z678" s="107"/>
      <c r="AA678" s="335"/>
      <c r="AB678" s="335"/>
      <c r="AC678" s="327"/>
      <c r="AD678" s="327"/>
      <c r="AE678" s="327"/>
      <c r="AF678" s="327"/>
      <c r="AG678" s="327"/>
      <c r="AH678" s="327"/>
      <c r="AI678" s="327"/>
      <c r="AJ678" s="327"/>
      <c r="AK678" s="336"/>
      <c r="AL678" s="42"/>
    </row>
    <row r="679" spans="2:38" x14ac:dyDescent="0.25">
      <c r="B679" s="327"/>
      <c r="C679" s="327"/>
      <c r="D679" s="327"/>
      <c r="E679" s="327"/>
      <c r="F679" s="327"/>
      <c r="G679" s="327"/>
      <c r="H679" s="312"/>
      <c r="I679" s="327"/>
      <c r="J679" s="327"/>
      <c r="K679" s="334"/>
      <c r="L679" s="322"/>
      <c r="M679" s="322"/>
      <c r="N679" s="327"/>
      <c r="O679" s="327"/>
      <c r="P679" s="331"/>
      <c r="Q679" s="327"/>
      <c r="R679" s="276"/>
      <c r="S679" s="322"/>
      <c r="T679" s="322"/>
      <c r="U679" s="327"/>
      <c r="V679" s="335"/>
      <c r="W679" s="327"/>
      <c r="X679" s="327"/>
      <c r="Y679" s="327"/>
      <c r="Z679" s="107"/>
      <c r="AA679" s="335"/>
      <c r="AB679" s="335"/>
      <c r="AC679" s="327"/>
      <c r="AD679" s="327"/>
      <c r="AE679" s="327"/>
      <c r="AF679" s="327"/>
      <c r="AG679" s="327"/>
      <c r="AH679" s="327"/>
      <c r="AI679" s="327"/>
      <c r="AJ679" s="327"/>
      <c r="AK679" s="336"/>
      <c r="AL679" s="42"/>
    </row>
    <row r="680" spans="2:38" x14ac:dyDescent="0.25">
      <c r="B680" s="327"/>
      <c r="C680" s="327"/>
      <c r="D680" s="327"/>
      <c r="E680" s="327"/>
      <c r="F680" s="327"/>
      <c r="G680" s="327"/>
      <c r="H680" s="312"/>
      <c r="I680" s="327"/>
      <c r="J680" s="327"/>
      <c r="K680" s="334"/>
      <c r="L680" s="322"/>
      <c r="M680" s="322"/>
      <c r="N680" s="327"/>
      <c r="O680" s="327"/>
      <c r="P680" s="331"/>
      <c r="Q680" s="327"/>
      <c r="R680" s="276"/>
      <c r="S680" s="322"/>
      <c r="T680" s="322"/>
      <c r="U680" s="327"/>
      <c r="V680" s="335"/>
      <c r="W680" s="327"/>
      <c r="X680" s="327"/>
      <c r="Y680" s="327"/>
      <c r="Z680" s="107"/>
      <c r="AA680" s="335"/>
      <c r="AB680" s="335"/>
      <c r="AC680" s="327"/>
      <c r="AD680" s="327"/>
      <c r="AE680" s="327"/>
      <c r="AF680" s="327"/>
      <c r="AG680" s="327"/>
      <c r="AH680" s="327"/>
      <c r="AI680" s="327"/>
      <c r="AJ680" s="327"/>
      <c r="AK680" s="336"/>
      <c r="AL680" s="42"/>
    </row>
    <row r="681" spans="2:38" x14ac:dyDescent="0.25">
      <c r="B681" s="327"/>
      <c r="C681" s="327"/>
      <c r="D681" s="327"/>
      <c r="E681" s="327"/>
      <c r="F681" s="327"/>
      <c r="G681" s="327"/>
      <c r="H681" s="312"/>
      <c r="I681" s="327"/>
      <c r="J681" s="327"/>
      <c r="K681" s="334"/>
      <c r="L681" s="322"/>
      <c r="M681" s="322"/>
      <c r="N681" s="327"/>
      <c r="O681" s="327"/>
      <c r="P681" s="331"/>
      <c r="Q681" s="327"/>
      <c r="R681" s="276"/>
      <c r="S681" s="322"/>
      <c r="T681" s="322"/>
      <c r="U681" s="327"/>
      <c r="V681" s="335"/>
      <c r="W681" s="327"/>
      <c r="X681" s="327"/>
      <c r="Y681" s="327"/>
      <c r="Z681" s="107"/>
      <c r="AA681" s="335"/>
      <c r="AB681" s="335"/>
      <c r="AC681" s="327"/>
      <c r="AD681" s="327"/>
      <c r="AE681" s="327"/>
      <c r="AF681" s="327"/>
      <c r="AG681" s="327"/>
      <c r="AH681" s="327"/>
      <c r="AI681" s="327"/>
      <c r="AJ681" s="327"/>
      <c r="AK681" s="336"/>
      <c r="AL681" s="42"/>
    </row>
    <row r="682" spans="2:38" x14ac:dyDescent="0.25">
      <c r="B682" s="327"/>
      <c r="C682" s="327"/>
      <c r="D682" s="327"/>
      <c r="E682" s="327"/>
      <c r="F682" s="327"/>
      <c r="G682" s="327"/>
      <c r="H682" s="312"/>
      <c r="I682" s="327"/>
      <c r="J682" s="327"/>
      <c r="K682" s="334"/>
      <c r="L682" s="322"/>
      <c r="M682" s="322"/>
      <c r="N682" s="327"/>
      <c r="O682" s="327"/>
      <c r="P682" s="331"/>
      <c r="Q682" s="327"/>
      <c r="R682" s="276"/>
      <c r="S682" s="322"/>
      <c r="T682" s="322"/>
      <c r="U682" s="327"/>
      <c r="V682" s="335"/>
      <c r="W682" s="327"/>
      <c r="X682" s="327"/>
      <c r="Y682" s="327"/>
      <c r="Z682" s="107"/>
      <c r="AA682" s="335"/>
      <c r="AB682" s="335"/>
      <c r="AC682" s="327"/>
      <c r="AD682" s="327"/>
      <c r="AE682" s="327"/>
      <c r="AF682" s="327"/>
      <c r="AG682" s="327"/>
      <c r="AH682" s="327"/>
      <c r="AI682" s="327"/>
      <c r="AJ682" s="327"/>
      <c r="AK682" s="336"/>
      <c r="AL682" s="42"/>
    </row>
    <row r="683" spans="2:38" x14ac:dyDescent="0.25">
      <c r="B683" s="327"/>
      <c r="C683" s="327"/>
      <c r="D683" s="327"/>
      <c r="E683" s="327"/>
      <c r="F683" s="327"/>
      <c r="G683" s="327"/>
      <c r="H683" s="312"/>
      <c r="I683" s="327"/>
      <c r="J683" s="327"/>
      <c r="K683" s="334"/>
      <c r="L683" s="322"/>
      <c r="M683" s="322"/>
      <c r="N683" s="327"/>
      <c r="O683" s="327"/>
      <c r="P683" s="331"/>
      <c r="Q683" s="327"/>
      <c r="R683" s="276"/>
      <c r="S683" s="322"/>
      <c r="T683" s="322"/>
      <c r="U683" s="327"/>
      <c r="V683" s="335"/>
      <c r="W683" s="327"/>
      <c r="X683" s="327"/>
      <c r="Y683" s="327"/>
      <c r="Z683" s="107"/>
      <c r="AA683" s="335"/>
      <c r="AB683" s="335"/>
      <c r="AC683" s="327"/>
      <c r="AD683" s="327"/>
      <c r="AE683" s="327"/>
      <c r="AF683" s="327"/>
      <c r="AG683" s="327"/>
      <c r="AH683" s="327"/>
      <c r="AI683" s="327"/>
      <c r="AJ683" s="327"/>
      <c r="AK683" s="336"/>
      <c r="AL683" s="42"/>
    </row>
    <row r="684" spans="2:38" x14ac:dyDescent="0.25">
      <c r="B684" s="327"/>
      <c r="C684" s="327"/>
      <c r="D684" s="327"/>
      <c r="E684" s="327"/>
      <c r="F684" s="327"/>
      <c r="G684" s="327"/>
      <c r="H684" s="312"/>
      <c r="I684" s="327"/>
      <c r="J684" s="327"/>
      <c r="K684" s="334"/>
      <c r="L684" s="322"/>
      <c r="M684" s="322"/>
      <c r="N684" s="327"/>
      <c r="O684" s="327"/>
      <c r="P684" s="331"/>
      <c r="Q684" s="327"/>
      <c r="R684" s="276"/>
      <c r="S684" s="322"/>
      <c r="T684" s="322"/>
      <c r="U684" s="327"/>
      <c r="V684" s="335"/>
      <c r="W684" s="327"/>
      <c r="X684" s="327"/>
      <c r="Y684" s="327"/>
      <c r="Z684" s="107"/>
      <c r="AA684" s="335"/>
      <c r="AB684" s="335"/>
      <c r="AC684" s="327"/>
      <c r="AD684" s="327"/>
      <c r="AE684" s="327"/>
      <c r="AF684" s="327"/>
      <c r="AG684" s="327"/>
      <c r="AH684" s="327"/>
      <c r="AI684" s="327"/>
      <c r="AJ684" s="327"/>
      <c r="AK684" s="336"/>
      <c r="AL684" s="42"/>
    </row>
    <row r="685" spans="2:38" x14ac:dyDescent="0.25">
      <c r="B685" s="327"/>
      <c r="C685" s="327"/>
      <c r="D685" s="327"/>
      <c r="E685" s="327"/>
      <c r="F685" s="327"/>
      <c r="G685" s="327"/>
      <c r="H685" s="312"/>
      <c r="I685" s="327"/>
      <c r="J685" s="327"/>
      <c r="K685" s="334"/>
      <c r="L685" s="322"/>
      <c r="M685" s="322"/>
      <c r="N685" s="327"/>
      <c r="O685" s="327"/>
      <c r="P685" s="331"/>
      <c r="Q685" s="327"/>
      <c r="R685" s="276"/>
      <c r="S685" s="322"/>
      <c r="T685" s="322"/>
      <c r="U685" s="327"/>
      <c r="V685" s="335"/>
      <c r="W685" s="327"/>
      <c r="X685" s="327"/>
      <c r="Y685" s="327"/>
      <c r="Z685" s="107"/>
      <c r="AA685" s="335"/>
      <c r="AB685" s="335"/>
      <c r="AC685" s="327"/>
      <c r="AD685" s="327"/>
      <c r="AE685" s="327"/>
      <c r="AF685" s="327"/>
      <c r="AG685" s="327"/>
      <c r="AH685" s="327"/>
      <c r="AI685" s="327"/>
      <c r="AJ685" s="327"/>
      <c r="AK685" s="336"/>
      <c r="AL685" s="42"/>
    </row>
    <row r="686" spans="2:38" x14ac:dyDescent="0.25">
      <c r="B686" s="327"/>
      <c r="C686" s="327"/>
      <c r="D686" s="327"/>
      <c r="E686" s="327"/>
      <c r="F686" s="327"/>
      <c r="G686" s="327"/>
      <c r="H686" s="312"/>
      <c r="I686" s="327"/>
      <c r="J686" s="327"/>
      <c r="K686" s="334"/>
      <c r="L686" s="322"/>
      <c r="M686" s="322"/>
      <c r="N686" s="327"/>
      <c r="O686" s="327"/>
      <c r="P686" s="331"/>
      <c r="Q686" s="327"/>
      <c r="R686" s="276"/>
      <c r="S686" s="322"/>
      <c r="T686" s="322"/>
      <c r="U686" s="327"/>
      <c r="V686" s="335"/>
      <c r="W686" s="327"/>
      <c r="X686" s="327"/>
      <c r="Y686" s="327"/>
      <c r="Z686" s="107"/>
      <c r="AA686" s="335"/>
      <c r="AB686" s="335"/>
      <c r="AC686" s="327"/>
      <c r="AD686" s="327"/>
      <c r="AE686" s="327"/>
      <c r="AF686" s="327"/>
      <c r="AG686" s="327"/>
      <c r="AH686" s="327"/>
      <c r="AI686" s="327"/>
      <c r="AJ686" s="327"/>
      <c r="AK686" s="336"/>
      <c r="AL686" s="42"/>
    </row>
    <row r="687" spans="2:38" x14ac:dyDescent="0.25">
      <c r="B687" s="327"/>
      <c r="C687" s="327"/>
      <c r="D687" s="327"/>
      <c r="E687" s="327"/>
      <c r="F687" s="327"/>
      <c r="G687" s="327"/>
      <c r="H687" s="312"/>
      <c r="I687" s="327"/>
      <c r="J687" s="327"/>
      <c r="K687" s="334"/>
      <c r="L687" s="322"/>
      <c r="M687" s="322"/>
      <c r="N687" s="327"/>
      <c r="O687" s="327"/>
      <c r="P687" s="331"/>
      <c r="Q687" s="327"/>
      <c r="R687" s="276"/>
      <c r="S687" s="322"/>
      <c r="T687" s="322"/>
      <c r="U687" s="327"/>
      <c r="V687" s="335"/>
      <c r="W687" s="327"/>
      <c r="X687" s="327"/>
      <c r="Y687" s="327"/>
      <c r="Z687" s="107"/>
      <c r="AA687" s="335"/>
      <c r="AB687" s="335"/>
      <c r="AC687" s="327"/>
      <c r="AD687" s="327"/>
      <c r="AE687" s="327"/>
      <c r="AF687" s="327"/>
      <c r="AG687" s="327"/>
      <c r="AH687" s="327"/>
      <c r="AI687" s="327"/>
      <c r="AJ687" s="327"/>
      <c r="AK687" s="336"/>
      <c r="AL687" s="42"/>
    </row>
    <row r="688" spans="2:38" x14ac:dyDescent="0.25">
      <c r="B688" s="327"/>
      <c r="C688" s="327"/>
      <c r="D688" s="327"/>
      <c r="E688" s="327"/>
      <c r="F688" s="327"/>
      <c r="G688" s="327"/>
      <c r="H688" s="312"/>
      <c r="I688" s="327"/>
      <c r="J688" s="327"/>
      <c r="K688" s="334"/>
      <c r="L688" s="322"/>
      <c r="M688" s="322"/>
      <c r="N688" s="327"/>
      <c r="O688" s="327"/>
      <c r="P688" s="331"/>
      <c r="Q688" s="327"/>
      <c r="R688" s="276"/>
      <c r="S688" s="322"/>
      <c r="T688" s="322"/>
      <c r="U688" s="327"/>
      <c r="V688" s="335"/>
      <c r="W688" s="327"/>
      <c r="X688" s="327"/>
      <c r="Y688" s="327"/>
      <c r="Z688" s="107"/>
      <c r="AA688" s="335"/>
      <c r="AB688" s="335"/>
      <c r="AC688" s="327"/>
      <c r="AD688" s="327"/>
      <c r="AE688" s="327"/>
      <c r="AF688" s="327"/>
      <c r="AG688" s="327"/>
      <c r="AH688" s="327"/>
      <c r="AI688" s="327"/>
      <c r="AJ688" s="327"/>
      <c r="AK688" s="336"/>
      <c r="AL688" s="42"/>
    </row>
    <row r="689" spans="2:38" x14ac:dyDescent="0.25">
      <c r="B689" s="327"/>
      <c r="C689" s="327"/>
      <c r="D689" s="327"/>
      <c r="E689" s="327"/>
      <c r="F689" s="327"/>
      <c r="G689" s="327"/>
      <c r="H689" s="312"/>
      <c r="I689" s="327"/>
      <c r="J689" s="327"/>
      <c r="K689" s="334"/>
      <c r="L689" s="322"/>
      <c r="M689" s="322"/>
      <c r="N689" s="327"/>
      <c r="O689" s="327"/>
      <c r="P689" s="331"/>
      <c r="Q689" s="327"/>
      <c r="R689" s="276"/>
      <c r="S689" s="322"/>
      <c r="T689" s="322"/>
      <c r="U689" s="327"/>
      <c r="V689" s="335"/>
      <c r="W689" s="327"/>
      <c r="X689" s="327"/>
      <c r="Y689" s="327"/>
      <c r="Z689" s="107"/>
      <c r="AA689" s="335"/>
      <c r="AB689" s="335"/>
      <c r="AC689" s="327"/>
      <c r="AD689" s="327"/>
      <c r="AE689" s="327"/>
      <c r="AF689" s="327"/>
      <c r="AG689" s="327"/>
      <c r="AH689" s="327"/>
      <c r="AI689" s="327"/>
      <c r="AJ689" s="327"/>
      <c r="AK689" s="336"/>
      <c r="AL689" s="42"/>
    </row>
    <row r="690" spans="2:38" x14ac:dyDescent="0.25">
      <c r="B690" s="327"/>
      <c r="C690" s="327"/>
      <c r="D690" s="327"/>
      <c r="E690" s="327"/>
      <c r="F690" s="327"/>
      <c r="G690" s="327"/>
      <c r="H690" s="312"/>
      <c r="I690" s="327"/>
      <c r="J690" s="327"/>
      <c r="K690" s="334"/>
      <c r="L690" s="322"/>
      <c r="M690" s="322"/>
      <c r="N690" s="327"/>
      <c r="O690" s="327"/>
      <c r="P690" s="331"/>
      <c r="Q690" s="327"/>
      <c r="R690" s="276"/>
      <c r="S690" s="322"/>
      <c r="T690" s="322"/>
      <c r="U690" s="327"/>
      <c r="V690" s="335"/>
      <c r="W690" s="327"/>
      <c r="X690" s="327"/>
      <c r="Y690" s="327"/>
      <c r="Z690" s="107"/>
      <c r="AA690" s="335"/>
      <c r="AB690" s="335"/>
      <c r="AC690" s="327"/>
      <c r="AD690" s="327"/>
      <c r="AE690" s="327"/>
      <c r="AF690" s="327"/>
      <c r="AG690" s="327"/>
      <c r="AH690" s="327"/>
      <c r="AI690" s="327"/>
      <c r="AJ690" s="327"/>
      <c r="AK690" s="336"/>
      <c r="AL690" s="42"/>
    </row>
    <row r="691" spans="2:38" x14ac:dyDescent="0.25">
      <c r="B691" s="327"/>
      <c r="C691" s="327"/>
      <c r="D691" s="327"/>
      <c r="E691" s="327"/>
      <c r="F691" s="327"/>
      <c r="G691" s="327"/>
      <c r="H691" s="312"/>
      <c r="I691" s="327"/>
      <c r="J691" s="327"/>
      <c r="K691" s="334"/>
      <c r="L691" s="322"/>
      <c r="M691" s="322"/>
      <c r="N691" s="327"/>
      <c r="O691" s="327"/>
      <c r="P691" s="331"/>
      <c r="Q691" s="327"/>
      <c r="R691" s="276"/>
      <c r="S691" s="322"/>
      <c r="T691" s="322"/>
      <c r="U691" s="327"/>
      <c r="V691" s="335"/>
      <c r="W691" s="327"/>
      <c r="X691" s="327"/>
      <c r="Y691" s="327"/>
      <c r="Z691" s="107"/>
      <c r="AA691" s="335"/>
      <c r="AB691" s="335"/>
      <c r="AC691" s="327"/>
      <c r="AD691" s="327"/>
      <c r="AE691" s="327"/>
      <c r="AF691" s="327"/>
      <c r="AG691" s="327"/>
      <c r="AH691" s="327"/>
      <c r="AI691" s="327"/>
      <c r="AJ691" s="327"/>
      <c r="AK691" s="336"/>
      <c r="AL691" s="42"/>
    </row>
    <row r="692" spans="2:38" x14ac:dyDescent="0.25">
      <c r="B692" s="327"/>
      <c r="C692" s="327"/>
      <c r="D692" s="327"/>
      <c r="E692" s="327"/>
      <c r="F692" s="327"/>
      <c r="G692" s="327"/>
      <c r="H692" s="312"/>
      <c r="I692" s="327"/>
      <c r="J692" s="327"/>
      <c r="K692" s="334"/>
      <c r="L692" s="322"/>
      <c r="M692" s="322"/>
      <c r="N692" s="327"/>
      <c r="O692" s="327"/>
      <c r="P692" s="331"/>
      <c r="Q692" s="327"/>
      <c r="R692" s="276"/>
      <c r="S692" s="322"/>
      <c r="T692" s="322"/>
      <c r="U692" s="327"/>
      <c r="V692" s="335"/>
      <c r="W692" s="327"/>
      <c r="X692" s="327"/>
      <c r="Y692" s="327"/>
      <c r="Z692" s="107"/>
      <c r="AA692" s="335"/>
      <c r="AB692" s="335"/>
      <c r="AC692" s="327"/>
      <c r="AD692" s="327"/>
      <c r="AE692" s="327"/>
      <c r="AF692" s="327"/>
      <c r="AG692" s="327"/>
      <c r="AH692" s="327"/>
      <c r="AI692" s="327"/>
      <c r="AJ692" s="327"/>
      <c r="AK692" s="336"/>
      <c r="AL692" s="42"/>
    </row>
    <row r="693" spans="2:38" x14ac:dyDescent="0.25">
      <c r="B693" s="327"/>
      <c r="C693" s="327"/>
      <c r="D693" s="327"/>
      <c r="E693" s="327"/>
      <c r="F693" s="327"/>
      <c r="G693" s="327"/>
      <c r="H693" s="312"/>
      <c r="I693" s="327"/>
      <c r="J693" s="327"/>
      <c r="K693" s="334"/>
      <c r="L693" s="322"/>
      <c r="M693" s="322"/>
      <c r="N693" s="327"/>
      <c r="O693" s="327"/>
      <c r="P693" s="331"/>
      <c r="Q693" s="327"/>
      <c r="R693" s="276"/>
      <c r="S693" s="322"/>
      <c r="T693" s="322"/>
      <c r="U693" s="327"/>
      <c r="V693" s="335"/>
      <c r="W693" s="327"/>
      <c r="X693" s="327"/>
      <c r="Y693" s="327"/>
      <c r="Z693" s="107"/>
      <c r="AA693" s="335"/>
      <c r="AB693" s="335"/>
      <c r="AC693" s="327"/>
      <c r="AD693" s="327"/>
      <c r="AE693" s="327"/>
      <c r="AF693" s="327"/>
      <c r="AG693" s="327"/>
      <c r="AH693" s="327"/>
      <c r="AI693" s="327"/>
      <c r="AJ693" s="327"/>
      <c r="AK693" s="336"/>
      <c r="AL693" s="42"/>
    </row>
    <row r="694" spans="2:38" x14ac:dyDescent="0.25">
      <c r="B694" s="327"/>
      <c r="C694" s="327"/>
      <c r="D694" s="327"/>
      <c r="E694" s="327"/>
      <c r="F694" s="327"/>
      <c r="G694" s="327"/>
      <c r="H694" s="312"/>
      <c r="I694" s="327"/>
      <c r="J694" s="327"/>
      <c r="K694" s="334"/>
      <c r="L694" s="322"/>
      <c r="M694" s="322"/>
      <c r="N694" s="327"/>
      <c r="O694" s="327"/>
      <c r="P694" s="331"/>
      <c r="Q694" s="327"/>
      <c r="R694" s="276"/>
      <c r="S694" s="322"/>
      <c r="T694" s="322"/>
      <c r="U694" s="327"/>
      <c r="V694" s="335"/>
      <c r="W694" s="327"/>
      <c r="X694" s="327"/>
      <c r="Y694" s="327"/>
      <c r="Z694" s="107"/>
      <c r="AA694" s="335"/>
      <c r="AB694" s="335"/>
      <c r="AC694" s="327"/>
      <c r="AD694" s="327"/>
      <c r="AE694" s="327"/>
      <c r="AF694" s="327"/>
      <c r="AG694" s="327"/>
      <c r="AH694" s="327"/>
      <c r="AI694" s="327"/>
      <c r="AJ694" s="327"/>
      <c r="AK694" s="336"/>
      <c r="AL694" s="42"/>
    </row>
    <row r="695" spans="2:38" x14ac:dyDescent="0.25">
      <c r="B695" s="327"/>
      <c r="C695" s="327"/>
      <c r="D695" s="327"/>
      <c r="E695" s="327"/>
      <c r="F695" s="327"/>
      <c r="G695" s="327"/>
      <c r="H695" s="312"/>
      <c r="I695" s="327"/>
      <c r="J695" s="327"/>
      <c r="K695" s="334"/>
      <c r="L695" s="322"/>
      <c r="M695" s="322"/>
      <c r="N695" s="327"/>
      <c r="O695" s="327"/>
      <c r="P695" s="331"/>
      <c r="Q695" s="327"/>
      <c r="R695" s="276"/>
      <c r="S695" s="322"/>
      <c r="T695" s="322"/>
      <c r="U695" s="327"/>
      <c r="V695" s="335"/>
      <c r="W695" s="327"/>
      <c r="X695" s="327"/>
      <c r="Y695" s="327"/>
      <c r="Z695" s="107"/>
      <c r="AA695" s="335"/>
      <c r="AB695" s="335"/>
      <c r="AC695" s="327"/>
      <c r="AD695" s="327"/>
      <c r="AE695" s="327"/>
      <c r="AF695" s="327"/>
      <c r="AG695" s="327"/>
      <c r="AH695" s="327"/>
      <c r="AI695" s="327"/>
      <c r="AJ695" s="327"/>
      <c r="AK695" s="336"/>
      <c r="AL695" s="42"/>
    </row>
    <row r="696" spans="2:38" x14ac:dyDescent="0.25">
      <c r="B696" s="327"/>
      <c r="C696" s="327"/>
      <c r="D696" s="327"/>
      <c r="E696" s="327"/>
      <c r="F696" s="327"/>
      <c r="G696" s="327"/>
      <c r="H696" s="312"/>
      <c r="I696" s="327"/>
      <c r="J696" s="327"/>
      <c r="K696" s="334"/>
      <c r="L696" s="322"/>
      <c r="M696" s="322"/>
      <c r="N696" s="327"/>
      <c r="O696" s="327"/>
      <c r="P696" s="331"/>
      <c r="Q696" s="327"/>
      <c r="R696" s="276"/>
      <c r="S696" s="322"/>
      <c r="T696" s="322"/>
      <c r="U696" s="327"/>
      <c r="V696" s="335"/>
      <c r="W696" s="327"/>
      <c r="X696" s="327"/>
      <c r="Y696" s="327"/>
      <c r="Z696" s="107"/>
      <c r="AA696" s="335"/>
      <c r="AB696" s="335"/>
      <c r="AC696" s="327"/>
      <c r="AD696" s="327"/>
      <c r="AE696" s="327"/>
      <c r="AF696" s="327"/>
      <c r="AG696" s="327"/>
      <c r="AH696" s="327"/>
      <c r="AI696" s="327"/>
      <c r="AJ696" s="327"/>
      <c r="AK696" s="336"/>
      <c r="AL696" s="42"/>
    </row>
    <row r="697" spans="2:38" x14ac:dyDescent="0.25">
      <c r="B697" s="327"/>
      <c r="C697" s="327"/>
      <c r="D697" s="327"/>
      <c r="E697" s="327"/>
      <c r="F697" s="327"/>
      <c r="G697" s="327"/>
      <c r="H697" s="312"/>
      <c r="I697" s="327"/>
      <c r="J697" s="327"/>
      <c r="K697" s="334"/>
      <c r="L697" s="322"/>
      <c r="M697" s="322"/>
      <c r="N697" s="327"/>
      <c r="O697" s="327"/>
      <c r="P697" s="331"/>
      <c r="Q697" s="327"/>
      <c r="R697" s="276"/>
      <c r="S697" s="322"/>
      <c r="T697" s="322"/>
      <c r="U697" s="327"/>
      <c r="V697" s="335"/>
      <c r="W697" s="327"/>
      <c r="X697" s="327"/>
      <c r="Y697" s="327"/>
      <c r="Z697" s="107"/>
      <c r="AA697" s="335"/>
      <c r="AB697" s="335"/>
      <c r="AC697" s="327"/>
      <c r="AD697" s="327"/>
      <c r="AE697" s="327"/>
      <c r="AF697" s="327"/>
      <c r="AG697" s="327"/>
      <c r="AH697" s="327"/>
      <c r="AI697" s="327"/>
      <c r="AJ697" s="327"/>
      <c r="AK697" s="336"/>
      <c r="AL697" s="42"/>
    </row>
    <row r="698" spans="2:38" x14ac:dyDescent="0.25">
      <c r="B698" s="327"/>
      <c r="C698" s="327"/>
      <c r="D698" s="327"/>
      <c r="E698" s="327"/>
      <c r="F698" s="327"/>
      <c r="G698" s="327"/>
      <c r="H698" s="312"/>
      <c r="I698" s="327"/>
      <c r="J698" s="327"/>
      <c r="K698" s="334"/>
      <c r="L698" s="322"/>
      <c r="M698" s="322"/>
      <c r="N698" s="327"/>
      <c r="O698" s="327"/>
      <c r="P698" s="331"/>
      <c r="Q698" s="327"/>
      <c r="R698" s="276"/>
      <c r="S698" s="322"/>
      <c r="T698" s="322"/>
      <c r="U698" s="327"/>
      <c r="V698" s="335"/>
      <c r="W698" s="327"/>
      <c r="X698" s="327"/>
      <c r="Y698" s="327"/>
      <c r="Z698" s="107"/>
      <c r="AA698" s="335"/>
      <c r="AB698" s="335"/>
      <c r="AC698" s="327"/>
      <c r="AD698" s="327"/>
      <c r="AE698" s="327"/>
      <c r="AF698" s="327"/>
      <c r="AG698" s="327"/>
      <c r="AH698" s="327"/>
      <c r="AI698" s="327"/>
      <c r="AJ698" s="327"/>
      <c r="AK698" s="336"/>
      <c r="AL698" s="42"/>
    </row>
    <row r="699" spans="2:38" x14ac:dyDescent="0.25">
      <c r="B699" s="327"/>
      <c r="C699" s="327"/>
      <c r="D699" s="327"/>
      <c r="E699" s="327"/>
      <c r="F699" s="327"/>
      <c r="G699" s="327"/>
      <c r="H699" s="312"/>
      <c r="I699" s="327"/>
      <c r="J699" s="327"/>
      <c r="K699" s="334"/>
      <c r="L699" s="322"/>
      <c r="M699" s="322"/>
      <c r="N699" s="327"/>
      <c r="O699" s="327"/>
      <c r="P699" s="331"/>
      <c r="Q699" s="327"/>
      <c r="R699" s="276"/>
      <c r="S699" s="322"/>
      <c r="T699" s="322"/>
      <c r="U699" s="327"/>
      <c r="V699" s="335"/>
      <c r="W699" s="327"/>
      <c r="X699" s="327"/>
      <c r="Y699" s="327"/>
      <c r="Z699" s="107"/>
      <c r="AA699" s="335"/>
      <c r="AB699" s="335"/>
      <c r="AC699" s="327"/>
      <c r="AD699" s="327"/>
      <c r="AE699" s="327"/>
      <c r="AF699" s="327"/>
      <c r="AG699" s="327"/>
      <c r="AH699" s="327"/>
      <c r="AI699" s="327"/>
      <c r="AJ699" s="327"/>
      <c r="AK699" s="336"/>
      <c r="AL699" s="42"/>
    </row>
    <row r="700" spans="2:38" x14ac:dyDescent="0.25">
      <c r="B700" s="327"/>
      <c r="C700" s="327"/>
      <c r="D700" s="327"/>
      <c r="E700" s="327"/>
      <c r="F700" s="327"/>
      <c r="G700" s="327"/>
      <c r="H700" s="312"/>
      <c r="I700" s="327"/>
      <c r="J700" s="327"/>
      <c r="K700" s="334"/>
      <c r="L700" s="322"/>
      <c r="M700" s="322"/>
      <c r="N700" s="327"/>
      <c r="O700" s="327"/>
      <c r="P700" s="331"/>
      <c r="Q700" s="327"/>
      <c r="R700" s="276"/>
      <c r="S700" s="322"/>
      <c r="T700" s="322"/>
      <c r="U700" s="327"/>
      <c r="V700" s="335"/>
      <c r="W700" s="327"/>
      <c r="X700" s="327"/>
      <c r="Y700" s="327"/>
      <c r="Z700" s="107"/>
      <c r="AA700" s="335"/>
      <c r="AB700" s="335"/>
      <c r="AC700" s="327"/>
      <c r="AD700" s="327"/>
      <c r="AE700" s="327"/>
      <c r="AF700" s="327"/>
      <c r="AG700" s="327"/>
      <c r="AH700" s="327"/>
      <c r="AI700" s="327"/>
      <c r="AJ700" s="327"/>
      <c r="AK700" s="336"/>
      <c r="AL700" s="42"/>
    </row>
    <row r="701" spans="2:38" x14ac:dyDescent="0.25">
      <c r="B701" s="327"/>
      <c r="C701" s="327"/>
      <c r="D701" s="327"/>
      <c r="E701" s="327"/>
      <c r="F701" s="327"/>
      <c r="G701" s="327"/>
      <c r="H701" s="312"/>
      <c r="I701" s="327"/>
      <c r="J701" s="327"/>
      <c r="K701" s="334"/>
      <c r="L701" s="322"/>
      <c r="M701" s="322"/>
      <c r="N701" s="327"/>
      <c r="O701" s="327"/>
      <c r="P701" s="331"/>
      <c r="Q701" s="327"/>
      <c r="R701" s="276"/>
      <c r="S701" s="322"/>
      <c r="T701" s="322"/>
      <c r="U701" s="327"/>
      <c r="V701" s="335"/>
      <c r="W701" s="327"/>
      <c r="X701" s="327"/>
      <c r="Y701" s="327"/>
      <c r="Z701" s="107"/>
      <c r="AA701" s="335"/>
      <c r="AB701" s="335"/>
      <c r="AC701" s="327"/>
      <c r="AD701" s="327"/>
      <c r="AE701" s="327"/>
      <c r="AF701" s="327"/>
      <c r="AG701" s="327"/>
      <c r="AH701" s="327"/>
      <c r="AI701" s="327"/>
      <c r="AJ701" s="327"/>
      <c r="AK701" s="336"/>
      <c r="AL701" s="42"/>
    </row>
    <row r="702" spans="2:38" x14ac:dyDescent="0.25">
      <c r="B702" s="327"/>
      <c r="C702" s="327"/>
      <c r="D702" s="327"/>
      <c r="E702" s="327"/>
      <c r="F702" s="327"/>
      <c r="G702" s="327"/>
      <c r="H702" s="312"/>
      <c r="I702" s="327"/>
      <c r="J702" s="327"/>
      <c r="K702" s="334"/>
      <c r="L702" s="322"/>
      <c r="M702" s="322"/>
      <c r="N702" s="327"/>
      <c r="O702" s="327"/>
      <c r="P702" s="331"/>
      <c r="Q702" s="327"/>
      <c r="R702" s="276"/>
      <c r="S702" s="322"/>
      <c r="T702" s="322"/>
      <c r="U702" s="327"/>
      <c r="V702" s="335"/>
      <c r="W702" s="327"/>
      <c r="X702" s="327"/>
      <c r="Y702" s="327"/>
      <c r="Z702" s="107"/>
      <c r="AA702" s="335"/>
      <c r="AB702" s="335"/>
      <c r="AC702" s="327"/>
      <c r="AD702" s="327"/>
      <c r="AE702" s="327"/>
      <c r="AF702" s="327"/>
      <c r="AG702" s="327"/>
      <c r="AH702" s="327"/>
      <c r="AI702" s="327"/>
      <c r="AJ702" s="327"/>
      <c r="AK702" s="336"/>
      <c r="AL702" s="42"/>
    </row>
    <row r="703" spans="2:38" x14ac:dyDescent="0.25">
      <c r="B703" s="327"/>
      <c r="C703" s="327"/>
      <c r="D703" s="327"/>
      <c r="E703" s="327"/>
      <c r="F703" s="327"/>
      <c r="G703" s="327"/>
      <c r="H703" s="312"/>
      <c r="I703" s="327"/>
      <c r="J703" s="327"/>
      <c r="K703" s="334"/>
      <c r="L703" s="322"/>
      <c r="M703" s="322"/>
      <c r="N703" s="327"/>
      <c r="O703" s="327"/>
      <c r="P703" s="331"/>
      <c r="Q703" s="327"/>
      <c r="R703" s="276"/>
      <c r="S703" s="322"/>
      <c r="T703" s="322"/>
      <c r="U703" s="327"/>
      <c r="V703" s="335"/>
      <c r="W703" s="327"/>
      <c r="X703" s="327"/>
      <c r="Y703" s="327"/>
      <c r="Z703" s="107"/>
      <c r="AA703" s="335"/>
      <c r="AB703" s="335"/>
      <c r="AC703" s="327"/>
      <c r="AD703" s="327"/>
      <c r="AE703" s="327"/>
      <c r="AF703" s="327"/>
      <c r="AG703" s="327"/>
      <c r="AH703" s="327"/>
      <c r="AI703" s="327"/>
      <c r="AJ703" s="327"/>
      <c r="AK703" s="336"/>
      <c r="AL703" s="42"/>
    </row>
    <row r="704" spans="2:38" x14ac:dyDescent="0.25">
      <c r="B704" s="327"/>
      <c r="C704" s="327"/>
      <c r="D704" s="327"/>
      <c r="E704" s="327"/>
      <c r="F704" s="327"/>
      <c r="G704" s="327"/>
      <c r="H704" s="312"/>
      <c r="I704" s="327"/>
      <c r="J704" s="327"/>
      <c r="K704" s="334"/>
      <c r="L704" s="322"/>
      <c r="M704" s="322"/>
      <c r="N704" s="327"/>
      <c r="O704" s="327"/>
      <c r="P704" s="331"/>
      <c r="Q704" s="327"/>
      <c r="R704" s="276"/>
      <c r="S704" s="322"/>
      <c r="T704" s="322"/>
      <c r="U704" s="327"/>
      <c r="V704" s="335"/>
      <c r="W704" s="327"/>
      <c r="X704" s="327"/>
      <c r="Y704" s="327"/>
      <c r="Z704" s="107"/>
      <c r="AA704" s="335"/>
      <c r="AB704" s="335"/>
      <c r="AC704" s="327"/>
      <c r="AD704" s="327"/>
      <c r="AE704" s="327"/>
      <c r="AF704" s="327"/>
      <c r="AG704" s="327"/>
      <c r="AH704" s="327"/>
      <c r="AI704" s="327"/>
      <c r="AJ704" s="327"/>
      <c r="AK704" s="336"/>
      <c r="AL704" s="42"/>
    </row>
    <row r="705" spans="2:38" x14ac:dyDescent="0.25">
      <c r="B705" s="327"/>
      <c r="C705" s="327"/>
      <c r="D705" s="327"/>
      <c r="E705" s="327"/>
      <c r="F705" s="327"/>
      <c r="G705" s="327"/>
      <c r="H705" s="312"/>
      <c r="I705" s="327"/>
      <c r="J705" s="327"/>
      <c r="K705" s="334"/>
      <c r="L705" s="322"/>
      <c r="M705" s="322"/>
      <c r="N705" s="327"/>
      <c r="O705" s="327"/>
      <c r="P705" s="331"/>
      <c r="Q705" s="327"/>
      <c r="R705" s="276"/>
      <c r="S705" s="322"/>
      <c r="T705" s="322"/>
      <c r="U705" s="327"/>
      <c r="V705" s="335"/>
      <c r="W705" s="327"/>
      <c r="X705" s="327"/>
      <c r="Y705" s="327"/>
      <c r="Z705" s="107"/>
      <c r="AA705" s="335"/>
      <c r="AB705" s="335"/>
      <c r="AC705" s="327"/>
      <c r="AD705" s="327"/>
      <c r="AE705" s="327"/>
      <c r="AF705" s="327"/>
      <c r="AG705" s="327"/>
      <c r="AH705" s="327"/>
      <c r="AI705" s="327"/>
      <c r="AJ705" s="327"/>
      <c r="AK705" s="336"/>
      <c r="AL705" s="42"/>
    </row>
    <row r="706" spans="2:38" x14ac:dyDescent="0.25">
      <c r="B706" s="327"/>
      <c r="C706" s="327"/>
      <c r="D706" s="327"/>
      <c r="E706" s="327"/>
      <c r="F706" s="327"/>
      <c r="G706" s="327"/>
      <c r="H706" s="312"/>
      <c r="I706" s="327"/>
      <c r="J706" s="327"/>
      <c r="K706" s="334"/>
      <c r="L706" s="322"/>
      <c r="M706" s="322"/>
      <c r="N706" s="327"/>
      <c r="O706" s="327"/>
      <c r="P706" s="331"/>
      <c r="Q706" s="327"/>
      <c r="R706" s="276"/>
      <c r="S706" s="322"/>
      <c r="T706" s="322"/>
      <c r="U706" s="327"/>
      <c r="V706" s="335"/>
      <c r="W706" s="327"/>
      <c r="X706" s="327"/>
      <c r="Y706" s="327"/>
      <c r="Z706" s="107"/>
      <c r="AA706" s="335"/>
      <c r="AB706" s="335"/>
      <c r="AC706" s="327"/>
      <c r="AD706" s="327"/>
      <c r="AE706" s="327"/>
      <c r="AF706" s="327"/>
      <c r="AG706" s="327"/>
      <c r="AH706" s="327"/>
      <c r="AI706" s="327"/>
      <c r="AJ706" s="327"/>
      <c r="AK706" s="336"/>
      <c r="AL706" s="42"/>
    </row>
    <row r="707" spans="2:38" x14ac:dyDescent="0.25">
      <c r="B707" s="327"/>
      <c r="C707" s="327"/>
      <c r="D707" s="327"/>
      <c r="E707" s="327"/>
      <c r="F707" s="327"/>
      <c r="G707" s="327"/>
      <c r="H707" s="312"/>
      <c r="I707" s="327"/>
      <c r="J707" s="327"/>
      <c r="K707" s="334"/>
      <c r="L707" s="322"/>
      <c r="M707" s="322"/>
      <c r="N707" s="327"/>
      <c r="O707" s="327"/>
      <c r="P707" s="331"/>
      <c r="Q707" s="327"/>
      <c r="R707" s="276"/>
      <c r="S707" s="322"/>
      <c r="T707" s="322"/>
      <c r="U707" s="327"/>
      <c r="V707" s="335"/>
      <c r="W707" s="327"/>
      <c r="X707" s="327"/>
      <c r="Y707" s="327"/>
      <c r="Z707" s="107"/>
      <c r="AA707" s="335"/>
      <c r="AB707" s="335"/>
      <c r="AC707" s="327"/>
      <c r="AD707" s="327"/>
      <c r="AE707" s="327"/>
      <c r="AF707" s="327"/>
      <c r="AG707" s="327"/>
      <c r="AH707" s="327"/>
      <c r="AI707" s="327"/>
      <c r="AJ707" s="327"/>
      <c r="AK707" s="336"/>
      <c r="AL707" s="42"/>
    </row>
    <row r="708" spans="2:38" x14ac:dyDescent="0.25">
      <c r="B708" s="327"/>
      <c r="C708" s="327"/>
      <c r="D708" s="327"/>
      <c r="E708" s="327"/>
      <c r="F708" s="327"/>
      <c r="G708" s="327"/>
      <c r="H708" s="312"/>
      <c r="I708" s="327"/>
      <c r="J708" s="327"/>
      <c r="K708" s="334"/>
      <c r="L708" s="322"/>
      <c r="M708" s="322"/>
      <c r="N708" s="327"/>
      <c r="O708" s="327"/>
      <c r="P708" s="331"/>
      <c r="Q708" s="327"/>
      <c r="R708" s="276"/>
      <c r="S708" s="322"/>
      <c r="T708" s="322"/>
      <c r="U708" s="327"/>
      <c r="V708" s="335"/>
      <c r="W708" s="327"/>
      <c r="X708" s="327"/>
      <c r="Y708" s="327"/>
      <c r="Z708" s="107"/>
      <c r="AA708" s="335"/>
      <c r="AB708" s="335"/>
      <c r="AC708" s="327"/>
      <c r="AD708" s="327"/>
      <c r="AE708" s="327"/>
      <c r="AF708" s="327"/>
      <c r="AG708" s="327"/>
      <c r="AH708" s="327"/>
      <c r="AI708" s="327"/>
      <c r="AJ708" s="327"/>
      <c r="AK708" s="336"/>
      <c r="AL708" s="42"/>
    </row>
    <row r="709" spans="2:38" x14ac:dyDescent="0.25">
      <c r="B709" s="327"/>
      <c r="C709" s="327"/>
      <c r="D709" s="327"/>
      <c r="E709" s="327"/>
      <c r="F709" s="327"/>
      <c r="G709" s="327"/>
      <c r="H709" s="312"/>
      <c r="I709" s="327"/>
      <c r="J709" s="327"/>
      <c r="K709" s="334"/>
      <c r="L709" s="322"/>
      <c r="M709" s="322"/>
      <c r="N709" s="327"/>
      <c r="O709" s="327"/>
      <c r="P709" s="331"/>
      <c r="Q709" s="327"/>
      <c r="R709" s="276"/>
      <c r="S709" s="322"/>
      <c r="T709" s="322"/>
      <c r="U709" s="327"/>
      <c r="V709" s="335"/>
      <c r="W709" s="327"/>
      <c r="X709" s="327"/>
      <c r="Y709" s="327"/>
      <c r="Z709" s="107"/>
      <c r="AA709" s="335"/>
      <c r="AB709" s="335"/>
      <c r="AC709" s="327"/>
      <c r="AD709" s="327"/>
      <c r="AE709" s="327"/>
      <c r="AF709" s="327"/>
      <c r="AG709" s="327"/>
      <c r="AH709" s="327"/>
      <c r="AI709" s="327"/>
      <c r="AJ709" s="327"/>
      <c r="AK709" s="336"/>
      <c r="AL709" s="42"/>
    </row>
    <row r="710" spans="2:38" x14ac:dyDescent="0.25">
      <c r="B710" s="327"/>
      <c r="C710" s="327"/>
      <c r="D710" s="327"/>
      <c r="E710" s="327"/>
      <c r="F710" s="327"/>
      <c r="G710" s="327"/>
      <c r="H710" s="312"/>
      <c r="I710" s="327"/>
      <c r="J710" s="327"/>
      <c r="K710" s="334"/>
      <c r="L710" s="322"/>
      <c r="M710" s="322"/>
      <c r="N710" s="327"/>
      <c r="O710" s="327"/>
      <c r="P710" s="331"/>
      <c r="Q710" s="327"/>
      <c r="R710" s="276"/>
      <c r="S710" s="322"/>
      <c r="T710" s="322"/>
      <c r="U710" s="327"/>
      <c r="V710" s="335"/>
      <c r="W710" s="327"/>
      <c r="X710" s="327"/>
      <c r="Y710" s="327"/>
      <c r="Z710" s="107"/>
      <c r="AA710" s="335"/>
      <c r="AB710" s="335"/>
      <c r="AC710" s="327"/>
      <c r="AD710" s="327"/>
      <c r="AE710" s="327"/>
      <c r="AF710" s="327"/>
      <c r="AG710" s="327"/>
      <c r="AH710" s="327"/>
      <c r="AI710" s="327"/>
      <c r="AJ710" s="327"/>
      <c r="AK710" s="336"/>
      <c r="AL710" s="42"/>
    </row>
    <row r="711" spans="2:38" x14ac:dyDescent="0.25">
      <c r="B711" s="327"/>
      <c r="C711" s="327"/>
      <c r="D711" s="327"/>
      <c r="E711" s="327"/>
      <c r="F711" s="327"/>
      <c r="G711" s="327"/>
      <c r="H711" s="312"/>
      <c r="I711" s="327"/>
      <c r="J711" s="327"/>
      <c r="K711" s="334"/>
      <c r="L711" s="322"/>
      <c r="M711" s="322"/>
      <c r="N711" s="327"/>
      <c r="O711" s="327"/>
      <c r="P711" s="331"/>
      <c r="Q711" s="327"/>
      <c r="R711" s="276"/>
      <c r="S711" s="322"/>
      <c r="T711" s="322"/>
      <c r="U711" s="327"/>
      <c r="V711" s="335"/>
      <c r="W711" s="327"/>
      <c r="X711" s="327"/>
      <c r="Y711" s="327"/>
      <c r="Z711" s="107"/>
      <c r="AA711" s="335"/>
      <c r="AB711" s="335"/>
      <c r="AC711" s="327"/>
      <c r="AD711" s="327"/>
      <c r="AE711" s="327"/>
      <c r="AF711" s="327"/>
      <c r="AG711" s="327"/>
      <c r="AH711" s="327"/>
      <c r="AI711" s="327"/>
      <c r="AJ711" s="327"/>
      <c r="AK711" s="336"/>
      <c r="AL711" s="42"/>
    </row>
    <row r="712" spans="2:38" x14ac:dyDescent="0.25">
      <c r="B712" s="327"/>
      <c r="C712" s="327"/>
      <c r="D712" s="327"/>
      <c r="E712" s="327"/>
      <c r="F712" s="327"/>
      <c r="G712" s="327"/>
      <c r="H712" s="312"/>
      <c r="I712" s="327"/>
      <c r="J712" s="327"/>
      <c r="K712" s="334"/>
      <c r="L712" s="322"/>
      <c r="M712" s="322"/>
      <c r="N712" s="327"/>
      <c r="O712" s="327"/>
      <c r="P712" s="331"/>
      <c r="Q712" s="327"/>
      <c r="R712" s="276"/>
      <c r="S712" s="322"/>
      <c r="T712" s="322"/>
      <c r="U712" s="327"/>
      <c r="V712" s="335"/>
      <c r="W712" s="327"/>
      <c r="X712" s="327"/>
      <c r="Y712" s="327"/>
      <c r="Z712" s="107"/>
      <c r="AA712" s="335"/>
      <c r="AB712" s="335"/>
      <c r="AC712" s="327"/>
      <c r="AD712" s="327"/>
      <c r="AE712" s="327"/>
      <c r="AF712" s="327"/>
      <c r="AG712" s="327"/>
      <c r="AH712" s="327"/>
      <c r="AI712" s="327"/>
      <c r="AJ712" s="327"/>
      <c r="AK712" s="336"/>
      <c r="AL712" s="42"/>
    </row>
    <row r="713" spans="2:38" x14ac:dyDescent="0.25">
      <c r="B713" s="327"/>
      <c r="C713" s="327"/>
      <c r="D713" s="327"/>
      <c r="E713" s="327"/>
      <c r="F713" s="327"/>
      <c r="G713" s="327"/>
      <c r="H713" s="312"/>
      <c r="I713" s="327"/>
      <c r="J713" s="327"/>
      <c r="K713" s="334"/>
      <c r="L713" s="322"/>
      <c r="M713" s="322"/>
      <c r="N713" s="327"/>
      <c r="O713" s="327"/>
      <c r="P713" s="331"/>
      <c r="Q713" s="327"/>
      <c r="R713" s="276"/>
      <c r="S713" s="322"/>
      <c r="T713" s="322"/>
      <c r="U713" s="327"/>
      <c r="V713" s="335"/>
      <c r="W713" s="327"/>
      <c r="X713" s="327"/>
      <c r="Y713" s="327"/>
      <c r="Z713" s="107"/>
      <c r="AA713" s="335"/>
      <c r="AB713" s="335"/>
      <c r="AC713" s="327"/>
      <c r="AD713" s="327"/>
      <c r="AE713" s="327"/>
      <c r="AF713" s="327"/>
      <c r="AG713" s="327"/>
      <c r="AH713" s="327"/>
      <c r="AI713" s="327"/>
      <c r="AJ713" s="327"/>
      <c r="AK713" s="336"/>
      <c r="AL713" s="42"/>
    </row>
    <row r="714" spans="2:38" x14ac:dyDescent="0.25">
      <c r="B714" s="327"/>
      <c r="C714" s="327"/>
      <c r="D714" s="327"/>
      <c r="E714" s="327"/>
      <c r="F714" s="327"/>
      <c r="G714" s="327"/>
      <c r="H714" s="312"/>
      <c r="I714" s="327"/>
      <c r="J714" s="327"/>
      <c r="K714" s="334"/>
      <c r="L714" s="322"/>
      <c r="M714" s="322"/>
      <c r="N714" s="327"/>
      <c r="O714" s="327"/>
      <c r="P714" s="331"/>
      <c r="Q714" s="327"/>
      <c r="R714" s="276"/>
      <c r="S714" s="322"/>
      <c r="T714" s="322"/>
      <c r="U714" s="327"/>
      <c r="V714" s="335"/>
      <c r="W714" s="327"/>
      <c r="X714" s="327"/>
      <c r="Y714" s="327"/>
      <c r="Z714" s="107"/>
      <c r="AA714" s="335"/>
      <c r="AB714" s="335"/>
      <c r="AC714" s="327"/>
      <c r="AD714" s="327"/>
      <c r="AE714" s="327"/>
      <c r="AF714" s="327"/>
      <c r="AG714" s="327"/>
      <c r="AH714" s="327"/>
      <c r="AI714" s="327"/>
      <c r="AJ714" s="327"/>
      <c r="AK714" s="336"/>
      <c r="AL714" s="42"/>
    </row>
    <row r="715" spans="2:38" x14ac:dyDescent="0.25">
      <c r="B715" s="327"/>
      <c r="C715" s="327"/>
      <c r="D715" s="327"/>
      <c r="E715" s="327"/>
      <c r="F715" s="327"/>
      <c r="G715" s="327"/>
      <c r="H715" s="312"/>
      <c r="I715" s="327"/>
      <c r="J715" s="327"/>
      <c r="K715" s="334"/>
      <c r="L715" s="322"/>
      <c r="M715" s="322"/>
      <c r="N715" s="327"/>
      <c r="O715" s="327"/>
      <c r="P715" s="331"/>
      <c r="Q715" s="327"/>
      <c r="R715" s="276"/>
      <c r="S715" s="322"/>
      <c r="T715" s="322"/>
      <c r="U715" s="327"/>
      <c r="V715" s="335"/>
      <c r="W715" s="327"/>
      <c r="X715" s="327"/>
      <c r="Y715" s="327"/>
      <c r="Z715" s="107"/>
      <c r="AA715" s="335"/>
      <c r="AB715" s="335"/>
      <c r="AC715" s="327"/>
      <c r="AD715" s="327"/>
      <c r="AE715" s="327"/>
      <c r="AF715" s="327"/>
      <c r="AG715" s="327"/>
      <c r="AH715" s="327"/>
      <c r="AI715" s="327"/>
      <c r="AJ715" s="327"/>
      <c r="AK715" s="336"/>
      <c r="AL715" s="42"/>
    </row>
    <row r="716" spans="2:38" x14ac:dyDescent="0.25">
      <c r="B716" s="327"/>
      <c r="C716" s="327"/>
      <c r="D716" s="327"/>
      <c r="E716" s="327"/>
      <c r="F716" s="327"/>
      <c r="G716" s="327"/>
      <c r="H716" s="312"/>
      <c r="I716" s="327"/>
      <c r="J716" s="327"/>
      <c r="K716" s="334"/>
      <c r="L716" s="322"/>
      <c r="M716" s="322"/>
      <c r="N716" s="327"/>
      <c r="O716" s="327"/>
      <c r="P716" s="331"/>
      <c r="Q716" s="327"/>
      <c r="R716" s="276"/>
      <c r="S716" s="322"/>
      <c r="T716" s="322"/>
      <c r="U716" s="327"/>
      <c r="V716" s="335"/>
      <c r="W716" s="327"/>
      <c r="X716" s="327"/>
      <c r="Y716" s="327"/>
      <c r="Z716" s="107"/>
      <c r="AA716" s="335"/>
      <c r="AB716" s="335"/>
      <c r="AC716" s="327"/>
      <c r="AD716" s="327"/>
      <c r="AE716" s="327"/>
      <c r="AF716" s="327"/>
      <c r="AG716" s="327"/>
      <c r="AH716" s="327"/>
      <c r="AI716" s="327"/>
      <c r="AJ716" s="327"/>
      <c r="AK716" s="336"/>
      <c r="AL716" s="42"/>
    </row>
    <row r="717" spans="2:38" x14ac:dyDescent="0.25">
      <c r="B717" s="327"/>
      <c r="C717" s="327"/>
      <c r="D717" s="327"/>
      <c r="E717" s="327"/>
      <c r="F717" s="327"/>
      <c r="G717" s="327"/>
      <c r="H717" s="312"/>
      <c r="I717" s="327"/>
      <c r="J717" s="327"/>
      <c r="K717" s="334"/>
      <c r="L717" s="322"/>
      <c r="M717" s="322"/>
      <c r="N717" s="327"/>
      <c r="O717" s="327"/>
      <c r="P717" s="331"/>
      <c r="Q717" s="327"/>
      <c r="R717" s="276"/>
      <c r="S717" s="322"/>
      <c r="T717" s="322"/>
      <c r="U717" s="327"/>
      <c r="V717" s="335"/>
      <c r="W717" s="327"/>
      <c r="X717" s="327"/>
      <c r="Y717" s="327"/>
      <c r="Z717" s="107"/>
      <c r="AA717" s="335"/>
      <c r="AB717" s="335"/>
      <c r="AC717" s="327"/>
      <c r="AD717" s="327"/>
      <c r="AE717" s="327"/>
      <c r="AF717" s="327"/>
      <c r="AG717" s="327"/>
      <c r="AH717" s="327"/>
      <c r="AI717" s="327"/>
      <c r="AJ717" s="327"/>
      <c r="AK717" s="336"/>
      <c r="AL717" s="42"/>
    </row>
    <row r="718" spans="2:38" x14ac:dyDescent="0.25">
      <c r="B718" s="327"/>
      <c r="C718" s="327"/>
      <c r="D718" s="327"/>
      <c r="E718" s="327"/>
      <c r="F718" s="327"/>
      <c r="G718" s="327"/>
      <c r="H718" s="312"/>
      <c r="I718" s="327"/>
      <c r="J718" s="327"/>
      <c r="K718" s="334"/>
      <c r="L718" s="322"/>
      <c r="M718" s="322"/>
      <c r="N718" s="327"/>
      <c r="O718" s="327"/>
      <c r="P718" s="331"/>
      <c r="Q718" s="327"/>
      <c r="R718" s="276"/>
      <c r="S718" s="322"/>
      <c r="T718" s="322"/>
      <c r="U718" s="327"/>
      <c r="V718" s="335"/>
      <c r="W718" s="327"/>
      <c r="X718" s="327"/>
      <c r="Y718" s="327"/>
      <c r="Z718" s="107"/>
      <c r="AA718" s="335"/>
      <c r="AB718" s="335"/>
      <c r="AC718" s="327"/>
      <c r="AD718" s="327"/>
      <c r="AE718" s="327"/>
      <c r="AF718" s="327"/>
      <c r="AG718" s="327"/>
      <c r="AH718" s="327"/>
      <c r="AI718" s="327"/>
      <c r="AJ718" s="327"/>
      <c r="AK718" s="336"/>
      <c r="AL718" s="42"/>
    </row>
    <row r="719" spans="2:38" x14ac:dyDescent="0.25">
      <c r="B719" s="327"/>
      <c r="C719" s="327"/>
      <c r="D719" s="327"/>
      <c r="E719" s="327"/>
      <c r="F719" s="327"/>
      <c r="G719" s="327"/>
      <c r="H719" s="312"/>
      <c r="I719" s="327"/>
      <c r="J719" s="327"/>
      <c r="K719" s="334"/>
      <c r="L719" s="322"/>
      <c r="M719" s="322"/>
      <c r="N719" s="327"/>
      <c r="O719" s="327"/>
      <c r="P719" s="331"/>
      <c r="Q719" s="327"/>
      <c r="R719" s="276"/>
      <c r="S719" s="322"/>
      <c r="T719" s="322"/>
      <c r="U719" s="327"/>
      <c r="V719" s="335"/>
      <c r="W719" s="327"/>
      <c r="X719" s="327"/>
      <c r="Y719" s="327"/>
      <c r="Z719" s="107"/>
      <c r="AA719" s="335"/>
      <c r="AB719" s="335"/>
      <c r="AC719" s="327"/>
      <c r="AD719" s="327"/>
      <c r="AE719" s="327"/>
      <c r="AF719" s="327"/>
      <c r="AG719" s="327"/>
      <c r="AH719" s="327"/>
      <c r="AI719" s="327"/>
      <c r="AJ719" s="327"/>
      <c r="AK719" s="336"/>
      <c r="AL719" s="42"/>
    </row>
    <row r="720" spans="2:38" x14ac:dyDescent="0.25">
      <c r="B720" s="327"/>
      <c r="C720" s="327"/>
      <c r="D720" s="327"/>
      <c r="E720" s="327"/>
      <c r="F720" s="327"/>
      <c r="G720" s="327"/>
      <c r="H720" s="312"/>
      <c r="I720" s="327"/>
      <c r="J720" s="327"/>
      <c r="K720" s="334"/>
      <c r="L720" s="322"/>
      <c r="M720" s="322"/>
      <c r="N720" s="327"/>
      <c r="O720" s="327"/>
      <c r="P720" s="331"/>
      <c r="Q720" s="327"/>
      <c r="R720" s="276"/>
      <c r="S720" s="322"/>
      <c r="T720" s="322"/>
      <c r="U720" s="327"/>
      <c r="V720" s="335"/>
      <c r="W720" s="327"/>
      <c r="X720" s="327"/>
      <c r="Y720" s="327"/>
      <c r="Z720" s="107"/>
      <c r="AA720" s="335"/>
      <c r="AB720" s="335"/>
      <c r="AC720" s="327"/>
      <c r="AD720" s="327"/>
      <c r="AE720" s="327"/>
      <c r="AF720" s="327"/>
      <c r="AG720" s="327"/>
      <c r="AH720" s="327"/>
      <c r="AI720" s="327"/>
      <c r="AJ720" s="327"/>
      <c r="AK720" s="336"/>
      <c r="AL720" s="42"/>
    </row>
    <row r="721" spans="2:38" x14ac:dyDescent="0.25">
      <c r="B721" s="327"/>
      <c r="C721" s="327"/>
      <c r="D721" s="327"/>
      <c r="E721" s="327"/>
      <c r="F721" s="327"/>
      <c r="G721" s="327"/>
      <c r="H721" s="312"/>
      <c r="I721" s="327"/>
      <c r="J721" s="327"/>
      <c r="K721" s="334"/>
      <c r="L721" s="322"/>
      <c r="M721" s="322"/>
      <c r="N721" s="327"/>
      <c r="O721" s="327"/>
      <c r="P721" s="331"/>
      <c r="Q721" s="327"/>
      <c r="R721" s="276"/>
      <c r="S721" s="322"/>
      <c r="T721" s="322"/>
      <c r="U721" s="327"/>
      <c r="V721" s="335"/>
      <c r="W721" s="327"/>
      <c r="X721" s="327"/>
      <c r="Y721" s="327"/>
      <c r="Z721" s="107"/>
      <c r="AA721" s="335"/>
      <c r="AB721" s="335"/>
      <c r="AC721" s="327"/>
      <c r="AD721" s="327"/>
      <c r="AE721" s="327"/>
      <c r="AF721" s="327"/>
      <c r="AG721" s="327"/>
      <c r="AH721" s="327"/>
      <c r="AI721" s="327"/>
      <c r="AJ721" s="327"/>
      <c r="AK721" s="336"/>
      <c r="AL721" s="42"/>
    </row>
    <row r="722" spans="2:38" x14ac:dyDescent="0.25">
      <c r="B722" s="327"/>
      <c r="C722" s="327"/>
      <c r="D722" s="327"/>
      <c r="E722" s="327"/>
      <c r="F722" s="327"/>
      <c r="G722" s="327"/>
      <c r="H722" s="312"/>
      <c r="I722" s="327"/>
      <c r="J722" s="327"/>
      <c r="K722" s="334"/>
      <c r="L722" s="322"/>
      <c r="M722" s="322"/>
      <c r="N722" s="327"/>
      <c r="O722" s="327"/>
      <c r="P722" s="331"/>
      <c r="Q722" s="327"/>
      <c r="R722" s="276"/>
      <c r="S722" s="322"/>
      <c r="T722" s="322"/>
      <c r="U722" s="327"/>
      <c r="V722" s="335"/>
      <c r="W722" s="327"/>
      <c r="X722" s="327"/>
      <c r="Y722" s="327"/>
      <c r="Z722" s="107"/>
      <c r="AA722" s="335"/>
      <c r="AB722" s="335"/>
      <c r="AC722" s="327"/>
      <c r="AD722" s="327"/>
      <c r="AE722" s="327"/>
      <c r="AF722" s="327"/>
      <c r="AG722" s="327"/>
      <c r="AH722" s="327"/>
      <c r="AI722" s="327"/>
      <c r="AJ722" s="327"/>
      <c r="AK722" s="336"/>
      <c r="AL722" s="42"/>
    </row>
    <row r="723" spans="2:38" x14ac:dyDescent="0.25">
      <c r="B723" s="327"/>
      <c r="C723" s="327"/>
      <c r="D723" s="327"/>
      <c r="E723" s="327"/>
      <c r="F723" s="327"/>
      <c r="G723" s="327"/>
      <c r="H723" s="312"/>
      <c r="I723" s="327"/>
      <c r="J723" s="327"/>
      <c r="K723" s="334"/>
      <c r="L723" s="322"/>
      <c r="M723" s="322"/>
      <c r="N723" s="327"/>
      <c r="O723" s="327"/>
      <c r="P723" s="331"/>
      <c r="Q723" s="327"/>
      <c r="R723" s="276"/>
      <c r="S723" s="322"/>
      <c r="T723" s="322"/>
      <c r="U723" s="327"/>
      <c r="V723" s="335"/>
      <c r="W723" s="327"/>
      <c r="X723" s="327"/>
      <c r="Y723" s="327"/>
      <c r="Z723" s="107"/>
      <c r="AA723" s="335"/>
      <c r="AB723" s="335"/>
      <c r="AC723" s="327"/>
      <c r="AD723" s="327"/>
      <c r="AE723" s="327"/>
      <c r="AF723" s="327"/>
      <c r="AG723" s="327"/>
      <c r="AH723" s="327"/>
      <c r="AI723" s="327"/>
      <c r="AJ723" s="327"/>
      <c r="AK723" s="336"/>
      <c r="AL723" s="42"/>
    </row>
    <row r="724" spans="2:38" x14ac:dyDescent="0.25">
      <c r="B724" s="327"/>
      <c r="C724" s="327"/>
      <c r="D724" s="327"/>
      <c r="E724" s="327"/>
      <c r="F724" s="327"/>
      <c r="G724" s="327"/>
      <c r="H724" s="312"/>
      <c r="I724" s="327"/>
      <c r="J724" s="327"/>
      <c r="K724" s="334"/>
      <c r="L724" s="322"/>
      <c r="M724" s="322"/>
      <c r="N724" s="327"/>
      <c r="O724" s="327"/>
      <c r="P724" s="331"/>
      <c r="Q724" s="327"/>
      <c r="R724" s="276"/>
      <c r="S724" s="322"/>
      <c r="T724" s="322"/>
      <c r="U724" s="327"/>
      <c r="V724" s="335"/>
      <c r="W724" s="327"/>
      <c r="X724" s="327"/>
      <c r="Y724" s="327"/>
      <c r="Z724" s="107"/>
      <c r="AA724" s="335"/>
      <c r="AB724" s="335"/>
      <c r="AC724" s="327"/>
      <c r="AD724" s="327"/>
      <c r="AE724" s="327"/>
      <c r="AF724" s="327"/>
      <c r="AG724" s="327"/>
      <c r="AH724" s="327"/>
      <c r="AI724" s="327"/>
      <c r="AJ724" s="327"/>
      <c r="AK724" s="336"/>
      <c r="AL724" s="42"/>
    </row>
    <row r="725" spans="2:38" x14ac:dyDescent="0.25">
      <c r="B725" s="327"/>
      <c r="C725" s="327"/>
      <c r="D725" s="327"/>
      <c r="E725" s="327"/>
      <c r="F725" s="327"/>
      <c r="G725" s="327"/>
      <c r="H725" s="312"/>
      <c r="I725" s="327"/>
      <c r="J725" s="327"/>
      <c r="K725" s="334"/>
      <c r="L725" s="322"/>
      <c r="M725" s="322"/>
      <c r="N725" s="327"/>
      <c r="O725" s="327"/>
      <c r="P725" s="331"/>
      <c r="Q725" s="327"/>
      <c r="R725" s="276"/>
      <c r="S725" s="322"/>
      <c r="T725" s="322"/>
      <c r="U725" s="327"/>
      <c r="V725" s="335"/>
      <c r="W725" s="327"/>
      <c r="X725" s="327"/>
      <c r="Y725" s="327"/>
      <c r="Z725" s="107"/>
      <c r="AA725" s="335"/>
      <c r="AB725" s="335"/>
      <c r="AC725" s="327"/>
      <c r="AD725" s="327"/>
      <c r="AE725" s="327"/>
      <c r="AF725" s="327"/>
      <c r="AG725" s="327"/>
      <c r="AH725" s="327"/>
      <c r="AI725" s="327"/>
      <c r="AJ725" s="327"/>
      <c r="AK725" s="336"/>
      <c r="AL725" s="42"/>
    </row>
    <row r="726" spans="2:38" x14ac:dyDescent="0.25">
      <c r="B726" s="327"/>
      <c r="C726" s="327"/>
      <c r="D726" s="327"/>
      <c r="E726" s="327"/>
      <c r="F726" s="327"/>
      <c r="G726" s="327"/>
      <c r="H726" s="312"/>
      <c r="I726" s="327"/>
      <c r="J726" s="327"/>
      <c r="K726" s="334"/>
      <c r="L726" s="322"/>
      <c r="M726" s="322"/>
      <c r="N726" s="327"/>
      <c r="O726" s="327"/>
      <c r="P726" s="331"/>
      <c r="Q726" s="327"/>
      <c r="R726" s="276"/>
      <c r="S726" s="322"/>
      <c r="T726" s="322"/>
      <c r="U726" s="327"/>
      <c r="V726" s="335"/>
      <c r="W726" s="327"/>
      <c r="X726" s="327"/>
      <c r="Y726" s="327"/>
      <c r="Z726" s="107"/>
      <c r="AA726" s="335"/>
      <c r="AB726" s="335"/>
      <c r="AC726" s="327"/>
      <c r="AD726" s="327"/>
      <c r="AE726" s="327"/>
      <c r="AF726" s="327"/>
      <c r="AG726" s="327"/>
      <c r="AH726" s="327"/>
      <c r="AI726" s="327"/>
      <c r="AJ726" s="327"/>
      <c r="AK726" s="336"/>
      <c r="AL726" s="42"/>
    </row>
    <row r="727" spans="2:38" x14ac:dyDescent="0.25">
      <c r="B727" s="327"/>
      <c r="C727" s="327"/>
      <c r="D727" s="327"/>
      <c r="E727" s="327"/>
      <c r="F727" s="327"/>
      <c r="G727" s="327"/>
      <c r="H727" s="312"/>
      <c r="I727" s="327"/>
      <c r="J727" s="327"/>
      <c r="K727" s="334"/>
      <c r="L727" s="322"/>
      <c r="M727" s="322"/>
      <c r="N727" s="327"/>
      <c r="O727" s="327"/>
      <c r="P727" s="331"/>
      <c r="Q727" s="327"/>
      <c r="R727" s="276"/>
      <c r="S727" s="322"/>
      <c r="T727" s="322"/>
      <c r="U727" s="327"/>
      <c r="V727" s="335"/>
      <c r="W727" s="327"/>
      <c r="X727" s="327"/>
      <c r="Y727" s="327"/>
      <c r="Z727" s="107"/>
      <c r="AA727" s="335"/>
      <c r="AB727" s="335"/>
      <c r="AC727" s="327"/>
      <c r="AD727" s="327"/>
      <c r="AE727" s="327"/>
      <c r="AF727" s="327"/>
      <c r="AG727" s="327"/>
      <c r="AH727" s="327"/>
      <c r="AI727" s="327"/>
      <c r="AJ727" s="327"/>
      <c r="AK727" s="336"/>
      <c r="AL727" s="42"/>
    </row>
    <row r="728" spans="2:38" x14ac:dyDescent="0.25">
      <c r="B728" s="327"/>
      <c r="C728" s="327"/>
      <c r="D728" s="327"/>
      <c r="E728" s="327"/>
      <c r="F728" s="327"/>
      <c r="G728" s="327"/>
      <c r="H728" s="312"/>
      <c r="I728" s="327"/>
      <c r="J728" s="327"/>
      <c r="K728" s="334"/>
      <c r="L728" s="322"/>
      <c r="M728" s="322"/>
      <c r="N728" s="327"/>
      <c r="O728" s="327"/>
      <c r="P728" s="331"/>
      <c r="Q728" s="327"/>
      <c r="R728" s="276"/>
      <c r="S728" s="322"/>
      <c r="T728" s="322"/>
      <c r="U728" s="327"/>
      <c r="V728" s="335"/>
      <c r="W728" s="327"/>
      <c r="X728" s="327"/>
      <c r="Y728" s="327"/>
      <c r="Z728" s="107"/>
      <c r="AA728" s="335"/>
      <c r="AB728" s="335"/>
      <c r="AC728" s="327"/>
      <c r="AD728" s="327"/>
      <c r="AE728" s="327"/>
      <c r="AF728" s="327"/>
      <c r="AG728" s="327"/>
      <c r="AH728" s="327"/>
      <c r="AI728" s="327"/>
      <c r="AJ728" s="327"/>
      <c r="AK728" s="336"/>
      <c r="AL728" s="42"/>
    </row>
    <row r="729" spans="2:38" x14ac:dyDescent="0.25">
      <c r="B729" s="327"/>
      <c r="C729" s="327"/>
      <c r="D729" s="327"/>
      <c r="E729" s="327"/>
      <c r="F729" s="327"/>
      <c r="G729" s="327"/>
      <c r="H729" s="312"/>
      <c r="I729" s="327"/>
      <c r="J729" s="327"/>
      <c r="K729" s="334"/>
      <c r="L729" s="322"/>
      <c r="M729" s="322"/>
      <c r="N729" s="327"/>
      <c r="O729" s="327"/>
      <c r="P729" s="331"/>
      <c r="Q729" s="327"/>
      <c r="R729" s="276"/>
      <c r="S729" s="322"/>
      <c r="T729" s="322"/>
      <c r="U729" s="327"/>
      <c r="V729" s="335"/>
      <c r="W729" s="327"/>
      <c r="X729" s="327"/>
      <c r="Y729" s="327"/>
      <c r="Z729" s="107"/>
      <c r="AA729" s="335"/>
      <c r="AB729" s="335"/>
      <c r="AC729" s="327"/>
      <c r="AD729" s="327"/>
      <c r="AE729" s="327"/>
      <c r="AF729" s="327"/>
      <c r="AG729" s="327"/>
      <c r="AH729" s="327"/>
      <c r="AI729" s="327"/>
      <c r="AJ729" s="327"/>
      <c r="AK729" s="336"/>
      <c r="AL729" s="42"/>
    </row>
    <row r="730" spans="2:38" x14ac:dyDescent="0.25">
      <c r="B730" s="327"/>
      <c r="C730" s="327"/>
      <c r="D730" s="327"/>
      <c r="E730" s="327"/>
      <c r="F730" s="327"/>
      <c r="G730" s="327"/>
      <c r="H730" s="312"/>
      <c r="I730" s="327"/>
      <c r="J730" s="327"/>
      <c r="K730" s="334"/>
      <c r="L730" s="322"/>
      <c r="M730" s="322"/>
      <c r="N730" s="327"/>
      <c r="O730" s="327"/>
      <c r="P730" s="331"/>
      <c r="Q730" s="327"/>
      <c r="R730" s="276"/>
      <c r="S730" s="322"/>
      <c r="T730" s="322"/>
      <c r="U730" s="327"/>
      <c r="V730" s="335"/>
      <c r="W730" s="327"/>
      <c r="X730" s="327"/>
      <c r="Y730" s="327"/>
      <c r="Z730" s="107"/>
      <c r="AA730" s="335"/>
      <c r="AB730" s="335"/>
      <c r="AC730" s="327"/>
      <c r="AD730" s="327"/>
      <c r="AE730" s="327"/>
      <c r="AF730" s="327"/>
      <c r="AG730" s="327"/>
      <c r="AH730" s="327"/>
      <c r="AI730" s="327"/>
      <c r="AJ730" s="327"/>
      <c r="AK730" s="336"/>
      <c r="AL730" s="42"/>
    </row>
    <row r="731" spans="2:38" x14ac:dyDescent="0.25">
      <c r="B731" s="327"/>
      <c r="C731" s="327"/>
      <c r="D731" s="327"/>
      <c r="E731" s="327"/>
      <c r="F731" s="327"/>
      <c r="G731" s="327"/>
      <c r="H731" s="312"/>
      <c r="I731" s="327"/>
      <c r="J731" s="327"/>
      <c r="K731" s="334"/>
      <c r="L731" s="322"/>
      <c r="M731" s="322"/>
      <c r="N731" s="327"/>
      <c r="O731" s="327"/>
      <c r="P731" s="331"/>
      <c r="Q731" s="327"/>
      <c r="R731" s="276"/>
      <c r="S731" s="322"/>
      <c r="T731" s="322"/>
      <c r="U731" s="327"/>
      <c r="V731" s="335"/>
      <c r="W731" s="327"/>
      <c r="X731" s="327"/>
      <c r="Y731" s="327"/>
      <c r="Z731" s="107"/>
      <c r="AA731" s="335"/>
      <c r="AB731" s="335"/>
      <c r="AC731" s="327"/>
      <c r="AD731" s="327"/>
      <c r="AE731" s="327"/>
      <c r="AF731" s="327"/>
      <c r="AG731" s="327"/>
      <c r="AH731" s="327"/>
      <c r="AI731" s="327"/>
      <c r="AJ731" s="327"/>
      <c r="AK731" s="336"/>
      <c r="AL731" s="42"/>
    </row>
    <row r="732" spans="2:38" x14ac:dyDescent="0.25">
      <c r="B732" s="327"/>
      <c r="C732" s="327"/>
      <c r="D732" s="327"/>
      <c r="E732" s="327"/>
      <c r="F732" s="327"/>
      <c r="G732" s="327"/>
      <c r="H732" s="312"/>
      <c r="I732" s="327"/>
      <c r="J732" s="327"/>
      <c r="K732" s="334"/>
      <c r="L732" s="322"/>
      <c r="M732" s="322"/>
      <c r="N732" s="327"/>
      <c r="O732" s="327"/>
      <c r="P732" s="331"/>
      <c r="Q732" s="327"/>
      <c r="R732" s="276"/>
      <c r="S732" s="322"/>
      <c r="T732" s="322"/>
      <c r="U732" s="327"/>
      <c r="V732" s="335"/>
      <c r="W732" s="327"/>
      <c r="X732" s="327"/>
      <c r="Y732" s="327"/>
      <c r="Z732" s="107"/>
      <c r="AA732" s="335"/>
      <c r="AB732" s="335"/>
      <c r="AC732" s="327"/>
      <c r="AD732" s="327"/>
      <c r="AE732" s="327"/>
      <c r="AF732" s="327"/>
      <c r="AG732" s="327"/>
      <c r="AH732" s="327"/>
      <c r="AI732" s="327"/>
      <c r="AJ732" s="327"/>
      <c r="AK732" s="336"/>
      <c r="AL732" s="42"/>
    </row>
    <row r="733" spans="2:38" x14ac:dyDescent="0.25">
      <c r="B733" s="327"/>
      <c r="C733" s="327"/>
      <c r="D733" s="327"/>
      <c r="E733" s="327"/>
      <c r="F733" s="327"/>
      <c r="G733" s="327"/>
      <c r="H733" s="312"/>
      <c r="I733" s="327"/>
      <c r="J733" s="327"/>
      <c r="K733" s="334"/>
      <c r="L733" s="322"/>
      <c r="M733" s="322"/>
      <c r="N733" s="327"/>
      <c r="O733" s="327"/>
      <c r="P733" s="331"/>
      <c r="Q733" s="327"/>
      <c r="R733" s="276"/>
      <c r="S733" s="322"/>
      <c r="T733" s="322"/>
      <c r="U733" s="327"/>
      <c r="V733" s="335"/>
      <c r="W733" s="327"/>
      <c r="X733" s="327"/>
      <c r="Y733" s="327"/>
      <c r="Z733" s="107"/>
      <c r="AA733" s="335"/>
      <c r="AB733" s="335"/>
      <c r="AC733" s="327"/>
      <c r="AD733" s="327"/>
      <c r="AE733" s="327"/>
      <c r="AF733" s="327"/>
      <c r="AG733" s="327"/>
      <c r="AH733" s="327"/>
      <c r="AI733" s="327"/>
      <c r="AJ733" s="327"/>
      <c r="AK733" s="336"/>
      <c r="AL733" s="42"/>
    </row>
    <row r="734" spans="2:38" x14ac:dyDescent="0.25">
      <c r="B734" s="327"/>
      <c r="C734" s="327"/>
      <c r="D734" s="327"/>
      <c r="E734" s="327"/>
      <c r="F734" s="327"/>
      <c r="G734" s="327"/>
      <c r="H734" s="312"/>
      <c r="I734" s="327"/>
      <c r="J734" s="327"/>
      <c r="K734" s="334"/>
      <c r="L734" s="322"/>
      <c r="M734" s="322"/>
      <c r="N734" s="327"/>
      <c r="O734" s="327"/>
      <c r="P734" s="331"/>
      <c r="Q734" s="327"/>
      <c r="R734" s="276"/>
      <c r="S734" s="322"/>
      <c r="T734" s="322"/>
      <c r="U734" s="327"/>
      <c r="V734" s="335"/>
      <c r="W734" s="327"/>
      <c r="X734" s="327"/>
      <c r="Y734" s="327"/>
      <c r="Z734" s="107"/>
      <c r="AA734" s="335"/>
      <c r="AB734" s="335"/>
      <c r="AC734" s="327"/>
      <c r="AD734" s="327"/>
      <c r="AE734" s="327"/>
      <c r="AF734" s="327"/>
      <c r="AG734" s="327"/>
      <c r="AH734" s="327"/>
      <c r="AI734" s="327"/>
      <c r="AJ734" s="327"/>
      <c r="AK734" s="336"/>
      <c r="AL734" s="42"/>
    </row>
    <row r="735" spans="2:38" x14ac:dyDescent="0.25">
      <c r="B735" s="327"/>
      <c r="C735" s="327"/>
      <c r="D735" s="327"/>
      <c r="E735" s="327"/>
      <c r="F735" s="327"/>
      <c r="G735" s="327"/>
      <c r="H735" s="312"/>
      <c r="I735" s="327"/>
      <c r="J735" s="327"/>
      <c r="K735" s="334"/>
      <c r="L735" s="322"/>
      <c r="M735" s="322"/>
      <c r="N735" s="327"/>
      <c r="O735" s="327"/>
      <c r="P735" s="331"/>
      <c r="Q735" s="327"/>
      <c r="R735" s="276"/>
      <c r="S735" s="322"/>
      <c r="T735" s="322"/>
      <c r="U735" s="327"/>
      <c r="V735" s="335"/>
      <c r="W735" s="327"/>
      <c r="X735" s="327"/>
      <c r="Y735" s="327"/>
      <c r="Z735" s="107"/>
      <c r="AA735" s="335"/>
      <c r="AB735" s="335"/>
      <c r="AC735" s="327"/>
      <c r="AD735" s="327"/>
      <c r="AE735" s="327"/>
      <c r="AF735" s="327"/>
      <c r="AG735" s="327"/>
      <c r="AH735" s="327"/>
      <c r="AI735" s="327"/>
      <c r="AJ735" s="327"/>
      <c r="AK735" s="336"/>
      <c r="AL735" s="42"/>
    </row>
    <row r="736" spans="2:38" x14ac:dyDescent="0.25">
      <c r="B736" s="327"/>
      <c r="C736" s="327"/>
      <c r="D736" s="327"/>
      <c r="E736" s="327"/>
      <c r="F736" s="327"/>
      <c r="G736" s="327"/>
      <c r="H736" s="312"/>
      <c r="I736" s="327"/>
      <c r="J736" s="327"/>
      <c r="K736" s="334"/>
      <c r="L736" s="322"/>
      <c r="M736" s="322"/>
      <c r="N736" s="327"/>
      <c r="O736" s="327"/>
      <c r="P736" s="331"/>
      <c r="Q736" s="327"/>
      <c r="R736" s="276"/>
      <c r="S736" s="322"/>
      <c r="T736" s="322"/>
      <c r="U736" s="327"/>
      <c r="V736" s="335"/>
      <c r="W736" s="327"/>
      <c r="X736" s="327"/>
      <c r="Y736" s="327"/>
      <c r="Z736" s="107"/>
      <c r="AA736" s="335"/>
      <c r="AB736" s="335"/>
      <c r="AC736" s="327"/>
      <c r="AD736" s="327"/>
      <c r="AE736" s="327"/>
      <c r="AF736" s="327"/>
      <c r="AG736" s="327"/>
      <c r="AH736" s="327"/>
      <c r="AI736" s="327"/>
      <c r="AJ736" s="327"/>
      <c r="AK736" s="336"/>
      <c r="AL736" s="42"/>
    </row>
    <row r="737" spans="2:38" x14ac:dyDescent="0.25">
      <c r="B737" s="327"/>
      <c r="C737" s="327"/>
      <c r="D737" s="327"/>
      <c r="E737" s="327"/>
      <c r="F737" s="327"/>
      <c r="G737" s="327"/>
      <c r="H737" s="312"/>
      <c r="I737" s="327"/>
      <c r="J737" s="327"/>
      <c r="K737" s="334"/>
      <c r="L737" s="322"/>
      <c r="M737" s="322"/>
      <c r="N737" s="327"/>
      <c r="O737" s="327"/>
      <c r="P737" s="331"/>
      <c r="Q737" s="327"/>
      <c r="R737" s="276"/>
      <c r="S737" s="322"/>
      <c r="T737" s="322"/>
      <c r="U737" s="327"/>
      <c r="V737" s="335"/>
      <c r="W737" s="327"/>
      <c r="X737" s="327"/>
      <c r="Y737" s="327"/>
      <c r="Z737" s="107"/>
      <c r="AA737" s="335"/>
      <c r="AB737" s="335"/>
      <c r="AC737" s="327"/>
      <c r="AD737" s="327"/>
      <c r="AE737" s="327"/>
      <c r="AF737" s="327"/>
      <c r="AG737" s="327"/>
      <c r="AH737" s="327"/>
      <c r="AI737" s="327"/>
      <c r="AJ737" s="327"/>
      <c r="AK737" s="336"/>
      <c r="AL737" s="42"/>
    </row>
    <row r="738" spans="2:38" x14ac:dyDescent="0.25">
      <c r="B738" s="327"/>
      <c r="C738" s="327"/>
      <c r="D738" s="327"/>
      <c r="E738" s="327"/>
      <c r="F738" s="327"/>
      <c r="G738" s="327"/>
      <c r="H738" s="312"/>
      <c r="I738" s="327"/>
      <c r="J738" s="327"/>
      <c r="K738" s="334"/>
      <c r="L738" s="322"/>
      <c r="M738" s="322"/>
      <c r="N738" s="327"/>
      <c r="O738" s="327"/>
      <c r="P738" s="331"/>
      <c r="Q738" s="327"/>
      <c r="R738" s="276"/>
      <c r="S738" s="322"/>
      <c r="T738" s="322"/>
      <c r="U738" s="327"/>
      <c r="V738" s="335"/>
      <c r="W738" s="327"/>
      <c r="X738" s="327"/>
      <c r="Y738" s="327"/>
      <c r="Z738" s="107"/>
      <c r="AA738" s="335"/>
      <c r="AB738" s="335"/>
      <c r="AC738" s="327"/>
      <c r="AD738" s="327"/>
      <c r="AE738" s="327"/>
      <c r="AF738" s="327"/>
      <c r="AG738" s="327"/>
      <c r="AH738" s="327"/>
      <c r="AI738" s="327"/>
      <c r="AJ738" s="327"/>
      <c r="AK738" s="336"/>
      <c r="AL738" s="42"/>
    </row>
    <row r="739" spans="2:38" x14ac:dyDescent="0.25">
      <c r="B739" s="327"/>
      <c r="C739" s="327"/>
      <c r="D739" s="327"/>
      <c r="E739" s="327"/>
      <c r="F739" s="327"/>
      <c r="G739" s="327"/>
      <c r="H739" s="312"/>
      <c r="I739" s="327"/>
      <c r="J739" s="327"/>
      <c r="K739" s="334"/>
      <c r="L739" s="322"/>
      <c r="M739" s="322"/>
      <c r="N739" s="327"/>
      <c r="O739" s="327"/>
      <c r="P739" s="331"/>
      <c r="Q739" s="327"/>
      <c r="R739" s="276"/>
      <c r="S739" s="322"/>
      <c r="T739" s="322"/>
      <c r="U739" s="327"/>
      <c r="V739" s="335"/>
      <c r="W739" s="327"/>
      <c r="X739" s="327"/>
      <c r="Y739" s="327"/>
      <c r="Z739" s="107"/>
      <c r="AA739" s="335"/>
      <c r="AB739" s="335"/>
      <c r="AC739" s="327"/>
      <c r="AD739" s="327"/>
      <c r="AE739" s="327"/>
      <c r="AF739" s="327"/>
      <c r="AG739" s="327"/>
      <c r="AH739" s="327"/>
      <c r="AI739" s="327"/>
      <c r="AJ739" s="327"/>
      <c r="AK739" s="336"/>
      <c r="AL739" s="42"/>
    </row>
    <row r="740" spans="2:38" x14ac:dyDescent="0.25">
      <c r="B740" s="327"/>
      <c r="C740" s="327"/>
      <c r="D740" s="327"/>
      <c r="E740" s="327"/>
      <c r="F740" s="327"/>
      <c r="G740" s="327"/>
      <c r="H740" s="312"/>
      <c r="I740" s="327"/>
      <c r="J740" s="327"/>
      <c r="K740" s="334"/>
      <c r="L740" s="322"/>
      <c r="M740" s="322"/>
      <c r="N740" s="327"/>
      <c r="O740" s="327"/>
      <c r="P740" s="331"/>
      <c r="Q740" s="327"/>
      <c r="R740" s="276"/>
      <c r="S740" s="322"/>
      <c r="T740" s="322"/>
      <c r="U740" s="327"/>
      <c r="V740" s="335"/>
      <c r="W740" s="327"/>
      <c r="X740" s="327"/>
      <c r="Y740" s="327"/>
      <c r="Z740" s="107"/>
      <c r="AA740" s="335"/>
      <c r="AB740" s="335"/>
      <c r="AC740" s="327"/>
      <c r="AD740" s="327"/>
      <c r="AE740" s="327"/>
      <c r="AF740" s="327"/>
      <c r="AG740" s="327"/>
      <c r="AH740" s="327"/>
      <c r="AI740" s="327"/>
      <c r="AJ740" s="327"/>
      <c r="AK740" s="336"/>
      <c r="AL740" s="42"/>
    </row>
    <row r="741" spans="2:38" x14ac:dyDescent="0.25">
      <c r="B741" s="327"/>
      <c r="C741" s="327"/>
      <c r="D741" s="327"/>
      <c r="E741" s="327"/>
      <c r="F741" s="327"/>
      <c r="G741" s="327"/>
      <c r="H741" s="312"/>
      <c r="I741" s="327"/>
      <c r="J741" s="327"/>
      <c r="K741" s="334"/>
      <c r="L741" s="322"/>
      <c r="M741" s="322"/>
      <c r="N741" s="327"/>
      <c r="O741" s="327"/>
      <c r="P741" s="331"/>
      <c r="Q741" s="327"/>
      <c r="R741" s="276"/>
      <c r="S741" s="322"/>
      <c r="T741" s="322"/>
      <c r="U741" s="327"/>
      <c r="V741" s="335"/>
      <c r="W741" s="327"/>
      <c r="X741" s="327"/>
      <c r="Y741" s="327"/>
      <c r="Z741" s="107"/>
      <c r="AA741" s="335"/>
      <c r="AB741" s="335"/>
      <c r="AC741" s="327"/>
      <c r="AD741" s="327"/>
      <c r="AE741" s="327"/>
      <c r="AF741" s="327"/>
      <c r="AG741" s="327"/>
      <c r="AH741" s="327"/>
      <c r="AI741" s="327"/>
      <c r="AJ741" s="327"/>
      <c r="AK741" s="336"/>
      <c r="AL741" s="42"/>
    </row>
    <row r="742" spans="2:38" x14ac:dyDescent="0.25">
      <c r="B742" s="327"/>
      <c r="C742" s="327"/>
      <c r="D742" s="327"/>
      <c r="E742" s="327"/>
      <c r="F742" s="327"/>
      <c r="G742" s="327"/>
      <c r="H742" s="312"/>
      <c r="I742" s="327"/>
      <c r="J742" s="327"/>
      <c r="K742" s="334"/>
      <c r="L742" s="322"/>
      <c r="M742" s="322"/>
      <c r="N742" s="327"/>
      <c r="O742" s="327"/>
      <c r="P742" s="331"/>
      <c r="Q742" s="327"/>
      <c r="R742" s="276"/>
      <c r="S742" s="322"/>
      <c r="T742" s="322"/>
      <c r="U742" s="327"/>
      <c r="V742" s="335"/>
      <c r="W742" s="327"/>
      <c r="X742" s="327"/>
      <c r="Y742" s="327"/>
      <c r="Z742" s="107"/>
      <c r="AA742" s="335"/>
      <c r="AB742" s="335"/>
      <c r="AC742" s="327"/>
      <c r="AD742" s="327"/>
      <c r="AE742" s="327"/>
      <c r="AF742" s="327"/>
      <c r="AG742" s="327"/>
      <c r="AH742" s="327"/>
      <c r="AI742" s="327"/>
      <c r="AJ742" s="327"/>
      <c r="AK742" s="336"/>
      <c r="AL742" s="42"/>
    </row>
    <row r="743" spans="2:38" x14ac:dyDescent="0.25">
      <c r="B743" s="327"/>
      <c r="C743" s="327"/>
      <c r="D743" s="327"/>
      <c r="E743" s="327"/>
      <c r="F743" s="327"/>
      <c r="G743" s="327"/>
      <c r="H743" s="312"/>
      <c r="I743" s="327"/>
      <c r="J743" s="327"/>
      <c r="K743" s="334"/>
      <c r="L743" s="322"/>
      <c r="M743" s="322"/>
      <c r="N743" s="327"/>
      <c r="O743" s="327"/>
      <c r="P743" s="331"/>
      <c r="Q743" s="327"/>
      <c r="R743" s="276"/>
      <c r="S743" s="322"/>
      <c r="T743" s="322"/>
      <c r="U743" s="327"/>
      <c r="V743" s="335"/>
      <c r="W743" s="327"/>
      <c r="X743" s="327"/>
      <c r="Y743" s="327"/>
      <c r="Z743" s="107"/>
      <c r="AA743" s="335"/>
      <c r="AB743" s="335"/>
      <c r="AC743" s="327"/>
      <c r="AD743" s="327"/>
      <c r="AE743" s="327"/>
      <c r="AF743" s="327"/>
      <c r="AG743" s="327"/>
      <c r="AH743" s="327"/>
      <c r="AI743" s="327"/>
      <c r="AJ743" s="327"/>
      <c r="AK743" s="336"/>
      <c r="AL743" s="42"/>
    </row>
    <row r="744" spans="2:38" x14ac:dyDescent="0.25">
      <c r="B744" s="327"/>
      <c r="C744" s="327"/>
      <c r="D744" s="327"/>
      <c r="E744" s="327"/>
      <c r="F744" s="327"/>
      <c r="G744" s="327"/>
      <c r="H744" s="312"/>
      <c r="I744" s="327"/>
      <c r="J744" s="327"/>
      <c r="K744" s="334"/>
      <c r="L744" s="322"/>
      <c r="M744" s="322"/>
      <c r="N744" s="327"/>
      <c r="O744" s="327"/>
      <c r="P744" s="331"/>
      <c r="Q744" s="327"/>
      <c r="R744" s="276"/>
      <c r="S744" s="322"/>
      <c r="T744" s="322"/>
      <c r="U744" s="327"/>
      <c r="V744" s="335"/>
      <c r="W744" s="327"/>
      <c r="X744" s="327"/>
      <c r="Y744" s="327"/>
      <c r="Z744" s="107"/>
      <c r="AA744" s="335"/>
      <c r="AB744" s="335"/>
      <c r="AC744" s="327"/>
      <c r="AD744" s="327"/>
      <c r="AE744" s="327"/>
      <c r="AF744" s="327"/>
      <c r="AG744" s="327"/>
      <c r="AH744" s="327"/>
      <c r="AI744" s="327"/>
      <c r="AJ744" s="327"/>
      <c r="AK744" s="336"/>
      <c r="AL744" s="42"/>
    </row>
    <row r="745" spans="2:38" x14ac:dyDescent="0.25">
      <c r="B745" s="327"/>
      <c r="C745" s="327"/>
      <c r="D745" s="327"/>
      <c r="E745" s="327"/>
      <c r="F745" s="327"/>
      <c r="G745" s="327"/>
      <c r="H745" s="312"/>
      <c r="I745" s="327"/>
      <c r="J745" s="327"/>
      <c r="K745" s="334"/>
      <c r="L745" s="322"/>
      <c r="M745" s="322"/>
      <c r="N745" s="327"/>
      <c r="O745" s="327"/>
      <c r="P745" s="331"/>
      <c r="Q745" s="327"/>
      <c r="R745" s="276"/>
      <c r="S745" s="322"/>
      <c r="T745" s="322"/>
      <c r="U745" s="327"/>
      <c r="V745" s="335"/>
      <c r="W745" s="327"/>
      <c r="X745" s="327"/>
      <c r="Y745" s="327"/>
      <c r="Z745" s="107"/>
      <c r="AA745" s="335"/>
      <c r="AB745" s="335"/>
      <c r="AC745" s="327"/>
      <c r="AD745" s="327"/>
      <c r="AE745" s="327"/>
      <c r="AF745" s="327"/>
      <c r="AG745" s="327"/>
      <c r="AH745" s="327"/>
      <c r="AI745" s="327"/>
      <c r="AJ745" s="327"/>
      <c r="AK745" s="336"/>
      <c r="AL745" s="42"/>
    </row>
    <row r="746" spans="2:38" x14ac:dyDescent="0.25">
      <c r="B746" s="327"/>
      <c r="C746" s="327"/>
      <c r="D746" s="327"/>
      <c r="E746" s="327"/>
      <c r="F746" s="327"/>
      <c r="G746" s="327"/>
      <c r="H746" s="312"/>
      <c r="I746" s="327"/>
      <c r="J746" s="327"/>
      <c r="K746" s="334"/>
      <c r="L746" s="322"/>
      <c r="M746" s="322"/>
      <c r="N746" s="327"/>
      <c r="O746" s="327"/>
      <c r="P746" s="331"/>
      <c r="Q746" s="327"/>
      <c r="R746" s="276"/>
      <c r="S746" s="322"/>
      <c r="T746" s="322"/>
      <c r="U746" s="327"/>
      <c r="V746" s="335"/>
      <c r="W746" s="327"/>
      <c r="X746" s="327"/>
      <c r="Y746" s="327"/>
      <c r="Z746" s="107"/>
      <c r="AA746" s="335"/>
      <c r="AB746" s="335"/>
      <c r="AC746" s="327"/>
      <c r="AD746" s="327"/>
      <c r="AE746" s="327"/>
      <c r="AF746" s="327"/>
      <c r="AG746" s="327"/>
      <c r="AH746" s="327"/>
      <c r="AI746" s="327"/>
      <c r="AJ746" s="327"/>
      <c r="AK746" s="336"/>
      <c r="AL746" s="42"/>
    </row>
    <row r="747" spans="2:38" x14ac:dyDescent="0.25">
      <c r="B747" s="327"/>
      <c r="C747" s="327"/>
      <c r="D747" s="327"/>
      <c r="E747" s="327"/>
      <c r="F747" s="327"/>
      <c r="G747" s="327"/>
      <c r="H747" s="312"/>
      <c r="I747" s="327"/>
      <c r="J747" s="327"/>
      <c r="K747" s="334"/>
      <c r="L747" s="322"/>
      <c r="M747" s="322"/>
      <c r="N747" s="327"/>
      <c r="O747" s="327"/>
      <c r="P747" s="331"/>
      <c r="Q747" s="327"/>
      <c r="R747" s="276"/>
      <c r="S747" s="322"/>
      <c r="T747" s="322"/>
      <c r="U747" s="327"/>
      <c r="V747" s="335"/>
      <c r="W747" s="327"/>
      <c r="X747" s="327"/>
      <c r="Y747" s="327"/>
      <c r="Z747" s="107"/>
      <c r="AA747" s="335"/>
      <c r="AB747" s="335"/>
      <c r="AC747" s="327"/>
      <c r="AD747" s="327"/>
      <c r="AE747" s="327"/>
      <c r="AF747" s="327"/>
      <c r="AG747" s="327"/>
      <c r="AH747" s="327"/>
      <c r="AI747" s="327"/>
      <c r="AJ747" s="327"/>
      <c r="AK747" s="336"/>
      <c r="AL747" s="42"/>
    </row>
    <row r="748" spans="2:38" x14ac:dyDescent="0.25">
      <c r="B748" s="327"/>
      <c r="C748" s="327"/>
      <c r="D748" s="327"/>
      <c r="E748" s="327"/>
      <c r="F748" s="327"/>
      <c r="G748" s="327"/>
      <c r="H748" s="312"/>
      <c r="I748" s="327"/>
      <c r="J748" s="327"/>
      <c r="K748" s="334"/>
      <c r="L748" s="322"/>
      <c r="M748" s="322"/>
      <c r="N748" s="327"/>
      <c r="O748" s="327"/>
      <c r="P748" s="331"/>
      <c r="Q748" s="327"/>
      <c r="R748" s="276"/>
      <c r="S748" s="322"/>
      <c r="T748" s="322"/>
      <c r="U748" s="327"/>
      <c r="V748" s="335"/>
      <c r="W748" s="327"/>
      <c r="X748" s="327"/>
      <c r="Y748" s="327"/>
      <c r="Z748" s="107"/>
      <c r="AA748" s="335"/>
      <c r="AB748" s="335"/>
      <c r="AC748" s="327"/>
      <c r="AD748" s="327"/>
      <c r="AE748" s="327"/>
      <c r="AF748" s="327"/>
      <c r="AG748" s="327"/>
      <c r="AH748" s="327"/>
      <c r="AI748" s="327"/>
      <c r="AJ748" s="327"/>
      <c r="AK748" s="336"/>
      <c r="AL748" s="42"/>
    </row>
    <row r="749" spans="2:38" x14ac:dyDescent="0.25">
      <c r="B749" s="327"/>
      <c r="C749" s="327"/>
      <c r="D749" s="327"/>
      <c r="E749" s="327"/>
      <c r="F749" s="327"/>
      <c r="G749" s="327"/>
      <c r="H749" s="312"/>
      <c r="I749" s="327"/>
      <c r="J749" s="327"/>
      <c r="K749" s="334"/>
      <c r="L749" s="322"/>
      <c r="M749" s="322"/>
      <c r="N749" s="327"/>
      <c r="O749" s="327"/>
      <c r="P749" s="331"/>
      <c r="Q749" s="327"/>
      <c r="R749" s="276"/>
      <c r="S749" s="322"/>
      <c r="T749" s="322"/>
      <c r="U749" s="327"/>
      <c r="V749" s="335"/>
      <c r="W749" s="327"/>
      <c r="X749" s="327"/>
      <c r="Y749" s="327"/>
      <c r="Z749" s="107"/>
      <c r="AA749" s="335"/>
      <c r="AB749" s="335"/>
      <c r="AC749" s="327"/>
      <c r="AD749" s="327"/>
      <c r="AE749" s="327"/>
      <c r="AF749" s="327"/>
      <c r="AG749" s="327"/>
      <c r="AH749" s="327"/>
      <c r="AI749" s="327"/>
      <c r="AJ749" s="327"/>
      <c r="AK749" s="336"/>
      <c r="AL749" s="42"/>
    </row>
    <row r="750" spans="2:38" x14ac:dyDescent="0.25">
      <c r="B750" s="327"/>
      <c r="C750" s="327"/>
      <c r="D750" s="327"/>
      <c r="E750" s="327"/>
      <c r="F750" s="327"/>
      <c r="G750" s="327"/>
      <c r="H750" s="312"/>
      <c r="I750" s="327"/>
      <c r="J750" s="327"/>
      <c r="K750" s="334"/>
      <c r="L750" s="322"/>
      <c r="M750" s="322"/>
      <c r="N750" s="327"/>
      <c r="O750" s="327"/>
      <c r="P750" s="331"/>
      <c r="Q750" s="327"/>
      <c r="R750" s="276"/>
      <c r="S750" s="322"/>
      <c r="T750" s="322"/>
      <c r="U750" s="327"/>
      <c r="V750" s="335"/>
      <c r="W750" s="327"/>
      <c r="X750" s="327"/>
      <c r="Y750" s="327"/>
      <c r="Z750" s="107"/>
      <c r="AA750" s="335"/>
      <c r="AB750" s="335"/>
      <c r="AC750" s="327"/>
      <c r="AD750" s="327"/>
      <c r="AE750" s="327"/>
      <c r="AF750" s="327"/>
      <c r="AG750" s="327"/>
      <c r="AH750" s="327"/>
      <c r="AI750" s="327"/>
      <c r="AJ750" s="327"/>
      <c r="AK750" s="336"/>
      <c r="AL750" s="42"/>
    </row>
    <row r="751" spans="2:38" x14ac:dyDescent="0.25">
      <c r="B751" s="327"/>
      <c r="C751" s="327"/>
      <c r="D751" s="327"/>
      <c r="E751" s="327"/>
      <c r="F751" s="327"/>
      <c r="G751" s="327"/>
      <c r="H751" s="312"/>
      <c r="I751" s="327"/>
      <c r="J751" s="327"/>
      <c r="K751" s="334"/>
      <c r="L751" s="322"/>
      <c r="M751" s="322"/>
      <c r="N751" s="327"/>
      <c r="O751" s="327"/>
      <c r="P751" s="331"/>
      <c r="Q751" s="327"/>
      <c r="R751" s="276"/>
      <c r="S751" s="322"/>
      <c r="T751" s="322"/>
      <c r="U751" s="327"/>
      <c r="V751" s="335"/>
      <c r="W751" s="327"/>
      <c r="X751" s="327"/>
      <c r="Y751" s="327"/>
      <c r="Z751" s="107"/>
      <c r="AA751" s="335"/>
      <c r="AB751" s="335"/>
      <c r="AC751" s="327"/>
      <c r="AD751" s="327"/>
      <c r="AE751" s="327"/>
      <c r="AF751" s="327"/>
      <c r="AG751" s="327"/>
      <c r="AH751" s="327"/>
      <c r="AI751" s="327"/>
      <c r="AJ751" s="327"/>
      <c r="AK751" s="336"/>
      <c r="AL751" s="42"/>
    </row>
    <row r="752" spans="2:38" x14ac:dyDescent="0.25">
      <c r="B752" s="327"/>
      <c r="C752" s="327"/>
      <c r="D752" s="327"/>
      <c r="E752" s="327"/>
      <c r="F752" s="327"/>
      <c r="G752" s="327"/>
      <c r="H752" s="312"/>
      <c r="I752" s="327"/>
      <c r="J752" s="327"/>
      <c r="K752" s="334"/>
      <c r="L752" s="322"/>
      <c r="M752" s="322"/>
      <c r="N752" s="327"/>
      <c r="O752" s="327"/>
      <c r="P752" s="331"/>
      <c r="Q752" s="327"/>
      <c r="R752" s="276"/>
      <c r="S752" s="322"/>
      <c r="T752" s="322"/>
      <c r="U752" s="327"/>
      <c r="V752" s="335"/>
      <c r="W752" s="327"/>
      <c r="X752" s="327"/>
      <c r="Y752" s="327"/>
      <c r="Z752" s="107"/>
      <c r="AA752" s="335"/>
      <c r="AB752" s="335"/>
      <c r="AC752" s="327"/>
      <c r="AD752" s="327"/>
      <c r="AE752" s="327"/>
      <c r="AF752" s="327"/>
      <c r="AG752" s="327"/>
      <c r="AH752" s="327"/>
      <c r="AI752" s="327"/>
      <c r="AJ752" s="327"/>
      <c r="AK752" s="336"/>
      <c r="AL752" s="42"/>
    </row>
    <row r="753" spans="2:38" x14ac:dyDescent="0.25">
      <c r="B753" s="327"/>
      <c r="C753" s="327"/>
      <c r="D753" s="327"/>
      <c r="E753" s="327"/>
      <c r="F753" s="327"/>
      <c r="G753" s="327"/>
      <c r="H753" s="312"/>
      <c r="I753" s="327"/>
      <c r="J753" s="327"/>
      <c r="K753" s="334"/>
      <c r="L753" s="322"/>
      <c r="M753" s="322"/>
      <c r="N753" s="327"/>
      <c r="O753" s="327"/>
      <c r="P753" s="331"/>
      <c r="Q753" s="327"/>
      <c r="R753" s="276"/>
      <c r="S753" s="322"/>
      <c r="T753" s="322"/>
      <c r="U753" s="327"/>
      <c r="V753" s="335"/>
      <c r="W753" s="327"/>
      <c r="X753" s="327"/>
      <c r="Y753" s="327"/>
      <c r="Z753" s="107"/>
      <c r="AA753" s="335"/>
      <c r="AB753" s="335"/>
      <c r="AC753" s="327"/>
      <c r="AD753" s="327"/>
      <c r="AE753" s="327"/>
      <c r="AF753" s="327"/>
      <c r="AG753" s="327"/>
      <c r="AH753" s="327"/>
      <c r="AI753" s="327"/>
      <c r="AJ753" s="327"/>
      <c r="AK753" s="336"/>
      <c r="AL753" s="42"/>
    </row>
    <row r="754" spans="2:38" x14ac:dyDescent="0.25">
      <c r="B754" s="327"/>
      <c r="C754" s="327"/>
      <c r="D754" s="327"/>
      <c r="E754" s="327"/>
      <c r="F754" s="327"/>
      <c r="G754" s="327"/>
      <c r="H754" s="312"/>
      <c r="I754" s="327"/>
      <c r="J754" s="327"/>
      <c r="K754" s="334"/>
      <c r="L754" s="322"/>
      <c r="M754" s="322"/>
      <c r="N754" s="327"/>
      <c r="O754" s="327"/>
      <c r="P754" s="331"/>
      <c r="Q754" s="327"/>
      <c r="R754" s="276"/>
      <c r="S754" s="322"/>
      <c r="T754" s="322"/>
      <c r="U754" s="327"/>
      <c r="V754" s="335"/>
      <c r="W754" s="327"/>
      <c r="X754" s="327"/>
      <c r="Y754" s="327"/>
      <c r="Z754" s="107"/>
      <c r="AA754" s="335"/>
      <c r="AB754" s="335"/>
      <c r="AC754" s="327"/>
      <c r="AD754" s="327"/>
      <c r="AE754" s="327"/>
      <c r="AF754" s="327"/>
      <c r="AG754" s="327"/>
      <c r="AH754" s="327"/>
      <c r="AI754" s="327"/>
      <c r="AJ754" s="327"/>
      <c r="AK754" s="336"/>
      <c r="AL754" s="42"/>
    </row>
    <row r="755" spans="2:38" x14ac:dyDescent="0.25">
      <c r="B755" s="327"/>
      <c r="C755" s="327"/>
      <c r="D755" s="327"/>
      <c r="E755" s="327"/>
      <c r="F755" s="327"/>
      <c r="G755" s="327"/>
      <c r="H755" s="312"/>
      <c r="I755" s="327"/>
      <c r="J755" s="327"/>
      <c r="K755" s="334"/>
      <c r="L755" s="322"/>
      <c r="M755" s="322"/>
      <c r="N755" s="327"/>
      <c r="O755" s="327"/>
      <c r="P755" s="331"/>
      <c r="Q755" s="327"/>
      <c r="R755" s="276"/>
      <c r="S755" s="322"/>
      <c r="T755" s="322"/>
      <c r="U755" s="327"/>
      <c r="V755" s="335"/>
      <c r="W755" s="327"/>
      <c r="X755" s="327"/>
      <c r="Y755" s="327"/>
      <c r="Z755" s="107"/>
      <c r="AA755" s="335"/>
      <c r="AB755" s="335"/>
      <c r="AC755" s="327"/>
      <c r="AD755" s="327"/>
      <c r="AE755" s="327"/>
      <c r="AF755" s="327"/>
      <c r="AG755" s="327"/>
      <c r="AH755" s="327"/>
      <c r="AI755" s="327"/>
      <c r="AJ755" s="327"/>
      <c r="AK755" s="336"/>
      <c r="AL755" s="42"/>
    </row>
    <row r="756" spans="2:38" x14ac:dyDescent="0.25">
      <c r="B756" s="327"/>
      <c r="C756" s="327"/>
      <c r="D756" s="327"/>
      <c r="E756" s="327"/>
      <c r="F756" s="327"/>
      <c r="G756" s="327"/>
      <c r="H756" s="312"/>
      <c r="I756" s="327"/>
      <c r="J756" s="327"/>
      <c r="K756" s="334"/>
      <c r="L756" s="322"/>
      <c r="M756" s="322"/>
      <c r="N756" s="327"/>
      <c r="O756" s="327"/>
      <c r="P756" s="331"/>
      <c r="Q756" s="327"/>
      <c r="R756" s="276"/>
      <c r="S756" s="322"/>
      <c r="T756" s="322"/>
      <c r="U756" s="327"/>
      <c r="V756" s="335"/>
      <c r="W756" s="327"/>
      <c r="X756" s="327"/>
      <c r="Y756" s="327"/>
      <c r="Z756" s="107"/>
      <c r="AA756" s="335"/>
      <c r="AB756" s="335"/>
      <c r="AC756" s="327"/>
      <c r="AD756" s="327"/>
      <c r="AE756" s="327"/>
      <c r="AF756" s="327"/>
      <c r="AG756" s="327"/>
      <c r="AH756" s="327"/>
      <c r="AI756" s="327"/>
      <c r="AJ756" s="327"/>
      <c r="AK756" s="336"/>
      <c r="AL756" s="42"/>
    </row>
    <row r="757" spans="2:38" x14ac:dyDescent="0.25">
      <c r="B757" s="327"/>
      <c r="C757" s="327"/>
      <c r="D757" s="327"/>
      <c r="E757" s="327"/>
      <c r="F757" s="327"/>
      <c r="G757" s="327"/>
      <c r="H757" s="312"/>
      <c r="I757" s="327"/>
      <c r="J757" s="327"/>
      <c r="K757" s="334"/>
      <c r="L757" s="322"/>
      <c r="M757" s="322"/>
      <c r="N757" s="327"/>
      <c r="O757" s="327"/>
      <c r="P757" s="331"/>
      <c r="Q757" s="327"/>
      <c r="R757" s="276"/>
      <c r="S757" s="322"/>
      <c r="T757" s="322"/>
      <c r="U757" s="327"/>
      <c r="V757" s="335"/>
      <c r="W757" s="327"/>
      <c r="X757" s="327"/>
      <c r="Y757" s="327"/>
      <c r="Z757" s="107"/>
      <c r="AA757" s="335"/>
      <c r="AB757" s="335"/>
      <c r="AC757" s="327"/>
      <c r="AD757" s="327"/>
      <c r="AE757" s="327"/>
      <c r="AF757" s="327"/>
      <c r="AG757" s="327"/>
      <c r="AH757" s="327"/>
      <c r="AI757" s="327"/>
      <c r="AJ757" s="327"/>
      <c r="AK757" s="336"/>
      <c r="AL757" s="42"/>
    </row>
    <row r="758" spans="2:38" x14ac:dyDescent="0.25">
      <c r="B758" s="327"/>
      <c r="C758" s="327"/>
      <c r="D758" s="327"/>
      <c r="E758" s="327"/>
      <c r="F758" s="327"/>
      <c r="G758" s="327"/>
      <c r="H758" s="312"/>
      <c r="I758" s="327"/>
      <c r="J758" s="327"/>
      <c r="K758" s="334"/>
      <c r="L758" s="322"/>
      <c r="M758" s="322"/>
      <c r="N758" s="327"/>
      <c r="O758" s="327"/>
      <c r="P758" s="331"/>
      <c r="Q758" s="327"/>
      <c r="R758" s="276"/>
      <c r="S758" s="322"/>
      <c r="T758" s="322"/>
      <c r="U758" s="327"/>
      <c r="V758" s="335"/>
      <c r="W758" s="327"/>
      <c r="X758" s="327"/>
      <c r="Y758" s="327"/>
      <c r="Z758" s="107"/>
      <c r="AA758" s="335"/>
      <c r="AB758" s="335"/>
      <c r="AC758" s="327"/>
      <c r="AD758" s="327"/>
      <c r="AE758" s="327"/>
      <c r="AF758" s="327"/>
      <c r="AG758" s="327"/>
      <c r="AH758" s="327"/>
      <c r="AI758" s="327"/>
      <c r="AJ758" s="327"/>
      <c r="AK758" s="336"/>
      <c r="AL758" s="42"/>
    </row>
    <row r="759" spans="2:38" x14ac:dyDescent="0.25">
      <c r="B759" s="327"/>
      <c r="C759" s="327"/>
      <c r="D759" s="327"/>
      <c r="E759" s="327"/>
      <c r="F759" s="327"/>
      <c r="G759" s="327"/>
      <c r="H759" s="312"/>
      <c r="I759" s="327"/>
      <c r="J759" s="327"/>
      <c r="K759" s="334"/>
      <c r="L759" s="322"/>
      <c r="M759" s="322"/>
      <c r="N759" s="327"/>
      <c r="O759" s="327"/>
      <c r="P759" s="331"/>
      <c r="Q759" s="327"/>
      <c r="R759" s="276"/>
      <c r="S759" s="322"/>
      <c r="T759" s="322"/>
      <c r="U759" s="327"/>
      <c r="V759" s="335"/>
      <c r="W759" s="327"/>
      <c r="X759" s="327"/>
      <c r="Y759" s="327"/>
      <c r="Z759" s="107"/>
      <c r="AA759" s="335"/>
      <c r="AB759" s="335"/>
      <c r="AC759" s="327"/>
      <c r="AD759" s="327"/>
      <c r="AE759" s="327"/>
      <c r="AF759" s="327"/>
      <c r="AG759" s="327"/>
      <c r="AH759" s="327"/>
      <c r="AI759" s="327"/>
      <c r="AJ759" s="327"/>
      <c r="AK759" s="336"/>
      <c r="AL759" s="42"/>
    </row>
    <row r="760" spans="2:38" x14ac:dyDescent="0.25">
      <c r="B760" s="327"/>
      <c r="C760" s="327"/>
      <c r="D760" s="327"/>
      <c r="E760" s="327"/>
      <c r="F760" s="327"/>
      <c r="G760" s="327"/>
      <c r="H760" s="312"/>
      <c r="I760" s="327"/>
      <c r="J760" s="327"/>
      <c r="K760" s="334"/>
      <c r="L760" s="322"/>
      <c r="M760" s="322"/>
      <c r="N760" s="327"/>
      <c r="O760" s="327"/>
      <c r="P760" s="331"/>
      <c r="Q760" s="327"/>
      <c r="R760" s="276"/>
      <c r="S760" s="322"/>
      <c r="T760" s="322"/>
      <c r="U760" s="327"/>
      <c r="V760" s="335"/>
      <c r="W760" s="327"/>
      <c r="X760" s="327"/>
      <c r="Y760" s="327"/>
      <c r="Z760" s="107"/>
      <c r="AA760" s="335"/>
      <c r="AB760" s="335"/>
      <c r="AC760" s="327"/>
      <c r="AD760" s="327"/>
      <c r="AE760" s="327"/>
      <c r="AF760" s="327"/>
      <c r="AG760" s="327"/>
      <c r="AH760" s="327"/>
      <c r="AI760" s="327"/>
      <c r="AJ760" s="327"/>
      <c r="AK760" s="336"/>
      <c r="AL760" s="42"/>
    </row>
    <row r="761" spans="2:38" x14ac:dyDescent="0.25">
      <c r="B761" s="327"/>
      <c r="C761" s="327"/>
      <c r="D761" s="327"/>
      <c r="E761" s="327"/>
      <c r="F761" s="327"/>
      <c r="G761" s="327"/>
      <c r="H761" s="312"/>
      <c r="I761" s="327"/>
      <c r="J761" s="327"/>
      <c r="K761" s="334"/>
      <c r="L761" s="322"/>
      <c r="M761" s="322"/>
      <c r="N761" s="327"/>
      <c r="O761" s="327"/>
      <c r="P761" s="331"/>
      <c r="Q761" s="327"/>
      <c r="R761" s="276"/>
      <c r="S761" s="322"/>
      <c r="T761" s="322"/>
      <c r="U761" s="327"/>
      <c r="V761" s="335"/>
      <c r="W761" s="327"/>
      <c r="X761" s="327"/>
      <c r="Y761" s="327"/>
      <c r="Z761" s="107"/>
      <c r="AA761" s="335"/>
      <c r="AB761" s="335"/>
      <c r="AC761" s="327"/>
      <c r="AD761" s="327"/>
      <c r="AE761" s="327"/>
      <c r="AF761" s="327"/>
      <c r="AG761" s="327"/>
      <c r="AH761" s="327"/>
      <c r="AI761" s="327"/>
      <c r="AJ761" s="327"/>
      <c r="AK761" s="336"/>
      <c r="AL761" s="42"/>
    </row>
    <row r="762" spans="2:38" x14ac:dyDescent="0.25">
      <c r="B762" s="327"/>
      <c r="C762" s="327"/>
      <c r="D762" s="327"/>
      <c r="E762" s="327"/>
      <c r="F762" s="327"/>
      <c r="G762" s="327"/>
      <c r="H762" s="312"/>
      <c r="I762" s="327"/>
      <c r="J762" s="327"/>
      <c r="K762" s="334"/>
      <c r="L762" s="322"/>
      <c r="M762" s="322"/>
      <c r="N762" s="327"/>
      <c r="O762" s="327"/>
      <c r="P762" s="331"/>
      <c r="Q762" s="327"/>
      <c r="R762" s="276"/>
      <c r="S762" s="322"/>
      <c r="T762" s="322"/>
      <c r="U762" s="327"/>
      <c r="V762" s="335"/>
      <c r="W762" s="327"/>
      <c r="X762" s="327"/>
      <c r="Y762" s="327"/>
      <c r="Z762" s="107"/>
      <c r="AA762" s="335"/>
      <c r="AB762" s="335"/>
      <c r="AC762" s="327"/>
      <c r="AD762" s="327"/>
      <c r="AE762" s="327"/>
      <c r="AF762" s="327"/>
      <c r="AG762" s="327"/>
      <c r="AH762" s="327"/>
      <c r="AI762" s="327"/>
      <c r="AJ762" s="327"/>
      <c r="AK762" s="336"/>
      <c r="AL762" s="42"/>
    </row>
    <row r="763" spans="2:38" x14ac:dyDescent="0.25">
      <c r="B763" s="327"/>
      <c r="C763" s="327"/>
      <c r="D763" s="327"/>
      <c r="E763" s="327"/>
      <c r="F763" s="327"/>
      <c r="G763" s="327"/>
      <c r="H763" s="312"/>
      <c r="I763" s="327"/>
      <c r="J763" s="327"/>
      <c r="K763" s="334"/>
      <c r="L763" s="322"/>
      <c r="M763" s="322"/>
      <c r="N763" s="327"/>
      <c r="O763" s="327"/>
      <c r="P763" s="331"/>
      <c r="Q763" s="327"/>
      <c r="R763" s="276"/>
      <c r="S763" s="322"/>
      <c r="T763" s="322"/>
      <c r="U763" s="327"/>
      <c r="V763" s="335"/>
      <c r="W763" s="327"/>
      <c r="X763" s="327"/>
      <c r="Y763" s="327"/>
      <c r="Z763" s="107"/>
      <c r="AA763" s="335"/>
      <c r="AB763" s="335"/>
      <c r="AC763" s="327"/>
      <c r="AD763" s="327"/>
      <c r="AE763" s="327"/>
      <c r="AF763" s="327"/>
      <c r="AG763" s="327"/>
      <c r="AH763" s="327"/>
      <c r="AI763" s="327"/>
      <c r="AJ763" s="327"/>
      <c r="AK763" s="336"/>
      <c r="AL763" s="42"/>
    </row>
    <row r="764" spans="2:38" x14ac:dyDescent="0.25">
      <c r="B764" s="327"/>
      <c r="C764" s="327"/>
      <c r="D764" s="327"/>
      <c r="E764" s="327"/>
      <c r="F764" s="327"/>
      <c r="G764" s="327"/>
      <c r="H764" s="312"/>
      <c r="I764" s="327"/>
      <c r="J764" s="327"/>
      <c r="K764" s="334"/>
      <c r="L764" s="322"/>
      <c r="M764" s="322"/>
      <c r="N764" s="327"/>
      <c r="O764" s="327"/>
      <c r="P764" s="331"/>
      <c r="Q764" s="327"/>
      <c r="R764" s="276"/>
      <c r="S764" s="322"/>
      <c r="T764" s="322"/>
      <c r="U764" s="327"/>
      <c r="V764" s="335"/>
      <c r="W764" s="327"/>
      <c r="X764" s="327"/>
      <c r="Y764" s="327"/>
      <c r="Z764" s="107"/>
      <c r="AA764" s="335"/>
      <c r="AB764" s="335"/>
      <c r="AC764" s="327"/>
      <c r="AD764" s="327"/>
      <c r="AE764" s="327"/>
      <c r="AF764" s="327"/>
      <c r="AG764" s="327"/>
      <c r="AH764" s="327"/>
      <c r="AI764" s="327"/>
      <c r="AJ764" s="327"/>
      <c r="AK764" s="336"/>
      <c r="AL764" s="42"/>
    </row>
    <row r="765" spans="2:38" x14ac:dyDescent="0.25">
      <c r="B765" s="327"/>
      <c r="C765" s="327"/>
      <c r="D765" s="327"/>
      <c r="E765" s="327"/>
      <c r="F765" s="327"/>
      <c r="G765" s="327"/>
      <c r="H765" s="312"/>
      <c r="I765" s="327"/>
      <c r="J765" s="327"/>
      <c r="K765" s="334"/>
      <c r="L765" s="322"/>
      <c r="M765" s="322"/>
      <c r="N765" s="327"/>
      <c r="O765" s="327"/>
      <c r="P765" s="331"/>
      <c r="Q765" s="327"/>
      <c r="R765" s="276"/>
      <c r="S765" s="322"/>
      <c r="T765" s="322"/>
      <c r="U765" s="327"/>
      <c r="V765" s="335"/>
      <c r="W765" s="327"/>
      <c r="X765" s="327"/>
      <c r="Y765" s="327"/>
      <c r="Z765" s="107"/>
      <c r="AA765" s="335"/>
      <c r="AB765" s="335"/>
      <c r="AC765" s="327"/>
      <c r="AD765" s="327"/>
      <c r="AE765" s="327"/>
      <c r="AF765" s="327"/>
      <c r="AG765" s="327"/>
      <c r="AH765" s="327"/>
      <c r="AI765" s="327"/>
      <c r="AJ765" s="327"/>
      <c r="AK765" s="336"/>
      <c r="AL765" s="42"/>
    </row>
    <row r="766" spans="2:38" x14ac:dyDescent="0.25">
      <c r="B766" s="327"/>
      <c r="C766" s="327"/>
      <c r="D766" s="327"/>
      <c r="E766" s="327"/>
      <c r="F766" s="327"/>
      <c r="G766" s="327"/>
      <c r="H766" s="312"/>
      <c r="I766" s="327"/>
      <c r="J766" s="327"/>
      <c r="K766" s="334"/>
      <c r="L766" s="322"/>
      <c r="M766" s="322"/>
      <c r="N766" s="327"/>
      <c r="O766" s="327"/>
      <c r="P766" s="331"/>
      <c r="Q766" s="327"/>
      <c r="R766" s="276"/>
      <c r="S766" s="322"/>
      <c r="T766" s="322"/>
      <c r="U766" s="327"/>
      <c r="V766" s="335"/>
      <c r="W766" s="327"/>
      <c r="X766" s="327"/>
      <c r="Y766" s="327"/>
      <c r="Z766" s="107"/>
      <c r="AA766" s="335"/>
      <c r="AB766" s="335"/>
      <c r="AC766" s="327"/>
      <c r="AD766" s="327"/>
      <c r="AE766" s="327"/>
      <c r="AF766" s="327"/>
      <c r="AG766" s="327"/>
      <c r="AH766" s="327"/>
      <c r="AI766" s="327"/>
      <c r="AJ766" s="327"/>
      <c r="AK766" s="336"/>
      <c r="AL766" s="42"/>
    </row>
    <row r="767" spans="2:38" x14ac:dyDescent="0.25">
      <c r="B767" s="327"/>
      <c r="C767" s="327"/>
      <c r="D767" s="327"/>
      <c r="E767" s="327"/>
      <c r="F767" s="327"/>
      <c r="G767" s="327"/>
      <c r="H767" s="312"/>
      <c r="I767" s="327"/>
      <c r="J767" s="327"/>
      <c r="K767" s="334"/>
      <c r="L767" s="322"/>
      <c r="M767" s="322"/>
      <c r="N767" s="327"/>
      <c r="O767" s="327"/>
      <c r="P767" s="331"/>
      <c r="Q767" s="327"/>
      <c r="R767" s="276"/>
      <c r="S767" s="322"/>
      <c r="T767" s="322"/>
      <c r="U767" s="327"/>
      <c r="V767" s="335"/>
      <c r="W767" s="327"/>
      <c r="X767" s="327"/>
      <c r="Y767" s="327"/>
      <c r="Z767" s="107"/>
      <c r="AA767" s="335"/>
      <c r="AB767" s="335"/>
      <c r="AC767" s="327"/>
      <c r="AD767" s="327"/>
      <c r="AE767" s="327"/>
      <c r="AF767" s="327"/>
      <c r="AG767" s="327"/>
      <c r="AH767" s="327"/>
      <c r="AI767" s="327"/>
      <c r="AJ767" s="327"/>
      <c r="AK767" s="336"/>
      <c r="AL767" s="42"/>
    </row>
    <row r="768" spans="2:38" x14ac:dyDescent="0.25">
      <c r="B768" s="327"/>
      <c r="C768" s="327"/>
      <c r="D768" s="327"/>
      <c r="E768" s="327"/>
      <c r="F768" s="327"/>
      <c r="G768" s="327"/>
      <c r="H768" s="312"/>
      <c r="I768" s="327"/>
      <c r="J768" s="327"/>
      <c r="K768" s="334"/>
      <c r="L768" s="322"/>
      <c r="M768" s="322"/>
      <c r="N768" s="327"/>
      <c r="O768" s="327"/>
      <c r="P768" s="331"/>
      <c r="Q768" s="327"/>
      <c r="R768" s="276"/>
      <c r="S768" s="322"/>
      <c r="T768" s="322"/>
      <c r="U768" s="327"/>
      <c r="V768" s="335"/>
      <c r="W768" s="327"/>
      <c r="X768" s="327"/>
      <c r="Y768" s="327"/>
      <c r="Z768" s="107"/>
      <c r="AA768" s="335"/>
      <c r="AB768" s="335"/>
      <c r="AC768" s="327"/>
      <c r="AD768" s="327"/>
      <c r="AE768" s="327"/>
      <c r="AF768" s="327"/>
      <c r="AG768" s="327"/>
      <c r="AH768" s="327"/>
      <c r="AI768" s="327"/>
      <c r="AJ768" s="327"/>
      <c r="AK768" s="336"/>
      <c r="AL768" s="42"/>
    </row>
    <row r="769" spans="2:38" x14ac:dyDescent="0.25">
      <c r="B769" s="327"/>
      <c r="C769" s="327"/>
      <c r="D769" s="327"/>
      <c r="E769" s="327"/>
      <c r="F769" s="327"/>
      <c r="G769" s="327"/>
      <c r="H769" s="312"/>
      <c r="I769" s="327"/>
      <c r="J769" s="327"/>
      <c r="K769" s="334"/>
      <c r="L769" s="322"/>
      <c r="M769" s="322"/>
      <c r="N769" s="327"/>
      <c r="O769" s="327"/>
      <c r="P769" s="331"/>
      <c r="Q769" s="327"/>
      <c r="R769" s="276"/>
      <c r="S769" s="322"/>
      <c r="T769" s="322"/>
      <c r="U769" s="327"/>
      <c r="V769" s="335"/>
      <c r="W769" s="327"/>
      <c r="X769" s="327"/>
      <c r="Y769" s="327"/>
      <c r="Z769" s="107"/>
      <c r="AA769" s="335"/>
      <c r="AB769" s="335"/>
      <c r="AC769" s="327"/>
      <c r="AD769" s="327"/>
      <c r="AE769" s="327"/>
      <c r="AF769" s="327"/>
      <c r="AG769" s="327"/>
      <c r="AH769" s="327"/>
      <c r="AI769" s="327"/>
      <c r="AJ769" s="327"/>
      <c r="AK769" s="336"/>
      <c r="AL769" s="42"/>
    </row>
    <row r="770" spans="2:38" x14ac:dyDescent="0.25">
      <c r="B770" s="327"/>
      <c r="C770" s="327"/>
      <c r="D770" s="327"/>
      <c r="E770" s="327"/>
      <c r="F770" s="327"/>
      <c r="G770" s="327"/>
      <c r="H770" s="312"/>
      <c r="I770" s="327"/>
      <c r="J770" s="327"/>
      <c r="K770" s="334"/>
      <c r="L770" s="322"/>
      <c r="M770" s="322"/>
      <c r="N770" s="327"/>
      <c r="O770" s="327"/>
      <c r="P770" s="331"/>
      <c r="Q770" s="327"/>
      <c r="R770" s="276"/>
      <c r="S770" s="322"/>
      <c r="T770" s="322"/>
      <c r="U770" s="327"/>
      <c r="V770" s="335"/>
      <c r="W770" s="327"/>
      <c r="X770" s="327"/>
      <c r="Y770" s="327"/>
      <c r="Z770" s="107"/>
      <c r="AA770" s="335"/>
      <c r="AB770" s="335"/>
      <c r="AC770" s="327"/>
      <c r="AD770" s="327"/>
      <c r="AE770" s="327"/>
      <c r="AF770" s="327"/>
      <c r="AG770" s="327"/>
      <c r="AH770" s="327"/>
      <c r="AI770" s="327"/>
      <c r="AJ770" s="327"/>
      <c r="AK770" s="336"/>
      <c r="AL770" s="42"/>
    </row>
    <row r="771" spans="2:38" x14ac:dyDescent="0.25">
      <c r="B771" s="327"/>
      <c r="C771" s="327"/>
      <c r="D771" s="327"/>
      <c r="E771" s="327"/>
      <c r="F771" s="327"/>
      <c r="G771" s="327"/>
      <c r="H771" s="312"/>
      <c r="I771" s="327"/>
      <c r="J771" s="327"/>
      <c r="K771" s="334"/>
      <c r="L771" s="322"/>
      <c r="M771" s="322"/>
      <c r="N771" s="327"/>
      <c r="O771" s="327"/>
      <c r="P771" s="331"/>
      <c r="Q771" s="327"/>
      <c r="R771" s="276"/>
      <c r="S771" s="322"/>
      <c r="T771" s="322"/>
      <c r="U771" s="327"/>
      <c r="V771" s="335"/>
      <c r="W771" s="327"/>
      <c r="X771" s="327"/>
      <c r="Y771" s="327"/>
      <c r="Z771" s="107"/>
      <c r="AA771" s="335"/>
      <c r="AB771" s="335"/>
      <c r="AC771" s="327"/>
      <c r="AD771" s="327"/>
      <c r="AE771" s="327"/>
      <c r="AF771" s="327"/>
      <c r="AG771" s="327"/>
      <c r="AH771" s="327"/>
      <c r="AI771" s="327"/>
      <c r="AJ771" s="327"/>
      <c r="AK771" s="336"/>
      <c r="AL771" s="42"/>
    </row>
    <row r="772" spans="2:38" x14ac:dyDescent="0.25">
      <c r="B772" s="327"/>
      <c r="C772" s="327"/>
      <c r="D772" s="327"/>
      <c r="E772" s="327"/>
      <c r="F772" s="327"/>
      <c r="G772" s="327"/>
      <c r="H772" s="312"/>
      <c r="I772" s="327"/>
      <c r="J772" s="327"/>
      <c r="K772" s="334"/>
      <c r="L772" s="322"/>
      <c r="M772" s="322"/>
      <c r="N772" s="327"/>
      <c r="O772" s="327"/>
      <c r="P772" s="331"/>
      <c r="Q772" s="327"/>
      <c r="R772" s="276"/>
      <c r="S772" s="322"/>
      <c r="T772" s="322"/>
      <c r="U772" s="327"/>
      <c r="V772" s="335"/>
      <c r="W772" s="327"/>
      <c r="X772" s="327"/>
      <c r="Y772" s="327"/>
      <c r="Z772" s="107"/>
      <c r="AA772" s="335"/>
      <c r="AB772" s="335"/>
      <c r="AC772" s="327"/>
      <c r="AD772" s="327"/>
      <c r="AE772" s="327"/>
      <c r="AF772" s="327"/>
      <c r="AG772" s="327"/>
      <c r="AH772" s="327"/>
      <c r="AI772" s="327"/>
      <c r="AJ772" s="327"/>
      <c r="AK772" s="336"/>
      <c r="AL772" s="42"/>
    </row>
    <row r="773" spans="2:38" x14ac:dyDescent="0.25">
      <c r="B773" s="327"/>
      <c r="C773" s="327"/>
      <c r="D773" s="327"/>
      <c r="E773" s="327"/>
      <c r="F773" s="327"/>
      <c r="G773" s="327"/>
      <c r="H773" s="312"/>
      <c r="I773" s="327"/>
      <c r="J773" s="327"/>
      <c r="K773" s="334"/>
      <c r="L773" s="322"/>
      <c r="M773" s="322"/>
      <c r="N773" s="327"/>
      <c r="O773" s="327"/>
      <c r="P773" s="331"/>
      <c r="Q773" s="327"/>
      <c r="R773" s="276"/>
      <c r="S773" s="322"/>
      <c r="T773" s="322"/>
      <c r="U773" s="327"/>
      <c r="V773" s="335"/>
      <c r="W773" s="327"/>
      <c r="X773" s="327"/>
      <c r="Y773" s="327"/>
      <c r="Z773" s="107"/>
      <c r="AA773" s="335"/>
      <c r="AB773" s="335"/>
      <c r="AC773" s="327"/>
      <c r="AD773" s="327"/>
      <c r="AE773" s="327"/>
      <c r="AF773" s="327"/>
      <c r="AG773" s="327"/>
      <c r="AH773" s="327"/>
      <c r="AI773" s="327"/>
      <c r="AJ773" s="327"/>
      <c r="AK773" s="336"/>
      <c r="AL773" s="42"/>
    </row>
    <row r="774" spans="2:38" x14ac:dyDescent="0.25">
      <c r="B774" s="327"/>
      <c r="C774" s="327"/>
      <c r="D774" s="327"/>
      <c r="E774" s="327"/>
      <c r="F774" s="327"/>
      <c r="G774" s="327"/>
      <c r="H774" s="312"/>
      <c r="I774" s="327"/>
      <c r="J774" s="327"/>
      <c r="K774" s="334"/>
      <c r="L774" s="322"/>
      <c r="M774" s="322"/>
      <c r="N774" s="327"/>
      <c r="O774" s="327"/>
      <c r="P774" s="331"/>
      <c r="Q774" s="327"/>
      <c r="R774" s="276"/>
      <c r="S774" s="322"/>
      <c r="T774" s="322"/>
      <c r="U774" s="327"/>
      <c r="V774" s="335"/>
      <c r="W774" s="327"/>
      <c r="X774" s="327"/>
      <c r="Y774" s="327"/>
      <c r="Z774" s="107"/>
      <c r="AA774" s="335"/>
      <c r="AB774" s="335"/>
      <c r="AC774" s="327"/>
      <c r="AD774" s="327"/>
      <c r="AE774" s="327"/>
      <c r="AF774" s="327"/>
      <c r="AG774" s="327"/>
      <c r="AH774" s="327"/>
      <c r="AI774" s="327"/>
      <c r="AJ774" s="327"/>
      <c r="AK774" s="336"/>
      <c r="AL774" s="42"/>
    </row>
    <row r="775" spans="2:38" x14ac:dyDescent="0.25">
      <c r="B775" s="327"/>
      <c r="C775" s="327"/>
      <c r="D775" s="327"/>
      <c r="E775" s="327"/>
      <c r="F775" s="327"/>
      <c r="G775" s="327"/>
      <c r="H775" s="312"/>
      <c r="I775" s="327"/>
      <c r="J775" s="327"/>
      <c r="K775" s="334"/>
      <c r="L775" s="322"/>
      <c r="M775" s="322"/>
      <c r="N775" s="327"/>
      <c r="O775" s="327"/>
      <c r="P775" s="331"/>
      <c r="Q775" s="327"/>
      <c r="R775" s="276"/>
      <c r="S775" s="322"/>
      <c r="T775" s="322"/>
      <c r="U775" s="327"/>
      <c r="V775" s="335"/>
      <c r="W775" s="327"/>
      <c r="X775" s="327"/>
      <c r="Y775" s="327"/>
      <c r="Z775" s="107"/>
      <c r="AA775" s="335"/>
      <c r="AB775" s="335"/>
      <c r="AC775" s="327"/>
      <c r="AD775" s="327"/>
      <c r="AE775" s="327"/>
      <c r="AF775" s="327"/>
      <c r="AG775" s="327"/>
      <c r="AH775" s="327"/>
      <c r="AI775" s="327"/>
      <c r="AJ775" s="327"/>
      <c r="AK775" s="336"/>
      <c r="AL775" s="42"/>
    </row>
    <row r="776" spans="2:38" x14ac:dyDescent="0.25">
      <c r="B776" s="327"/>
      <c r="C776" s="327"/>
      <c r="D776" s="327"/>
      <c r="E776" s="327"/>
      <c r="F776" s="327"/>
      <c r="G776" s="327"/>
      <c r="H776" s="312"/>
      <c r="I776" s="327"/>
      <c r="J776" s="327"/>
      <c r="K776" s="334"/>
      <c r="L776" s="322"/>
      <c r="M776" s="322"/>
      <c r="N776" s="327"/>
      <c r="O776" s="327"/>
      <c r="P776" s="331"/>
      <c r="Q776" s="327"/>
      <c r="R776" s="276"/>
      <c r="S776" s="322"/>
      <c r="T776" s="322"/>
      <c r="U776" s="327"/>
      <c r="V776" s="335"/>
      <c r="W776" s="327"/>
      <c r="X776" s="327"/>
      <c r="Y776" s="327"/>
      <c r="Z776" s="107"/>
      <c r="AA776" s="335"/>
      <c r="AB776" s="335"/>
      <c r="AC776" s="327"/>
      <c r="AD776" s="327"/>
      <c r="AE776" s="327"/>
      <c r="AF776" s="327"/>
      <c r="AG776" s="327"/>
      <c r="AH776" s="327"/>
      <c r="AI776" s="327"/>
      <c r="AJ776" s="327"/>
      <c r="AK776" s="336"/>
      <c r="AL776" s="42"/>
    </row>
    <row r="777" spans="2:38" x14ac:dyDescent="0.25">
      <c r="B777" s="327"/>
      <c r="C777" s="327"/>
      <c r="D777" s="327"/>
      <c r="E777" s="327"/>
      <c r="F777" s="327"/>
      <c r="G777" s="327"/>
      <c r="H777" s="312"/>
      <c r="I777" s="327"/>
      <c r="J777" s="327"/>
      <c r="K777" s="334"/>
      <c r="L777" s="322"/>
      <c r="M777" s="322"/>
      <c r="N777" s="327"/>
      <c r="O777" s="327"/>
      <c r="P777" s="331"/>
      <c r="Q777" s="327"/>
      <c r="R777" s="276"/>
      <c r="S777" s="322"/>
      <c r="T777" s="322"/>
      <c r="U777" s="327"/>
      <c r="V777" s="335"/>
      <c r="W777" s="327"/>
      <c r="X777" s="327"/>
      <c r="Y777" s="327"/>
      <c r="Z777" s="107"/>
      <c r="AA777" s="335"/>
      <c r="AB777" s="335"/>
      <c r="AC777" s="327"/>
      <c r="AD777" s="327"/>
      <c r="AE777" s="327"/>
      <c r="AF777" s="327"/>
      <c r="AG777" s="327"/>
      <c r="AH777" s="327"/>
      <c r="AI777" s="327"/>
      <c r="AJ777" s="327"/>
      <c r="AK777" s="336"/>
      <c r="AL777" s="42"/>
    </row>
    <row r="778" spans="2:38" x14ac:dyDescent="0.25">
      <c r="B778" s="327"/>
      <c r="C778" s="327"/>
      <c r="D778" s="327"/>
      <c r="E778" s="327"/>
      <c r="F778" s="327"/>
      <c r="G778" s="327"/>
      <c r="H778" s="312"/>
      <c r="I778" s="327"/>
      <c r="J778" s="327"/>
      <c r="K778" s="334"/>
      <c r="L778" s="322"/>
      <c r="M778" s="322"/>
      <c r="N778" s="327"/>
      <c r="O778" s="327"/>
      <c r="P778" s="331"/>
      <c r="Q778" s="327"/>
      <c r="R778" s="276"/>
      <c r="S778" s="322"/>
      <c r="T778" s="322"/>
      <c r="U778" s="327"/>
      <c r="V778" s="335"/>
      <c r="W778" s="327"/>
      <c r="X778" s="327"/>
      <c r="Y778" s="327"/>
      <c r="Z778" s="107"/>
      <c r="AA778" s="335"/>
      <c r="AB778" s="335"/>
      <c r="AC778" s="327"/>
      <c r="AD778" s="327"/>
      <c r="AE778" s="327"/>
      <c r="AF778" s="327"/>
      <c r="AG778" s="327"/>
      <c r="AH778" s="327"/>
      <c r="AI778" s="327"/>
      <c r="AJ778" s="327"/>
      <c r="AK778" s="336"/>
      <c r="AL778" s="42"/>
    </row>
    <row r="779" spans="2:38" x14ac:dyDescent="0.25">
      <c r="B779" s="327"/>
      <c r="C779" s="327"/>
      <c r="D779" s="327"/>
      <c r="E779" s="327"/>
      <c r="F779" s="327"/>
      <c r="G779" s="327"/>
      <c r="H779" s="312"/>
      <c r="I779" s="327"/>
      <c r="J779" s="327"/>
      <c r="K779" s="334"/>
      <c r="L779" s="322"/>
      <c r="M779" s="322"/>
      <c r="N779" s="327"/>
      <c r="O779" s="327"/>
      <c r="P779" s="331"/>
      <c r="Q779" s="327"/>
      <c r="R779" s="276"/>
      <c r="S779" s="322"/>
      <c r="T779" s="322"/>
      <c r="U779" s="327"/>
      <c r="V779" s="335"/>
      <c r="W779" s="327"/>
      <c r="X779" s="327"/>
      <c r="Y779" s="327"/>
      <c r="Z779" s="107"/>
      <c r="AA779" s="335"/>
      <c r="AB779" s="335"/>
      <c r="AC779" s="327"/>
      <c r="AD779" s="327"/>
      <c r="AE779" s="327"/>
      <c r="AF779" s="327"/>
      <c r="AG779" s="327"/>
      <c r="AH779" s="327"/>
      <c r="AI779" s="327"/>
      <c r="AJ779" s="327"/>
      <c r="AK779" s="336"/>
      <c r="AL779" s="42"/>
    </row>
    <row r="780" spans="2:38" x14ac:dyDescent="0.25">
      <c r="B780" s="327"/>
      <c r="C780" s="327"/>
      <c r="D780" s="327"/>
      <c r="E780" s="327"/>
      <c r="F780" s="327"/>
      <c r="G780" s="327"/>
      <c r="H780" s="312"/>
      <c r="I780" s="327"/>
      <c r="J780" s="327"/>
      <c r="K780" s="334"/>
      <c r="L780" s="322"/>
      <c r="M780" s="322"/>
      <c r="N780" s="327"/>
      <c r="O780" s="327"/>
      <c r="P780" s="331"/>
      <c r="Q780" s="327"/>
      <c r="R780" s="276"/>
      <c r="S780" s="322"/>
      <c r="T780" s="322"/>
      <c r="U780" s="327"/>
      <c r="V780" s="335"/>
      <c r="W780" s="327"/>
      <c r="X780" s="327"/>
      <c r="Y780" s="327"/>
      <c r="Z780" s="107"/>
      <c r="AA780" s="335"/>
      <c r="AB780" s="335"/>
      <c r="AC780" s="327"/>
      <c r="AD780" s="327"/>
      <c r="AE780" s="327"/>
      <c r="AF780" s="327"/>
      <c r="AG780" s="327"/>
      <c r="AH780" s="327"/>
      <c r="AI780" s="327"/>
      <c r="AJ780" s="327"/>
      <c r="AK780" s="336"/>
      <c r="AL780" s="42"/>
    </row>
    <row r="781" spans="2:38" x14ac:dyDescent="0.25">
      <c r="B781" s="327"/>
      <c r="C781" s="327"/>
      <c r="D781" s="327"/>
      <c r="E781" s="327"/>
      <c r="F781" s="327"/>
      <c r="G781" s="327"/>
      <c r="H781" s="312"/>
      <c r="I781" s="327"/>
      <c r="J781" s="327"/>
      <c r="K781" s="334"/>
      <c r="L781" s="322"/>
      <c r="M781" s="322"/>
      <c r="N781" s="327"/>
      <c r="O781" s="327"/>
      <c r="P781" s="331"/>
      <c r="Q781" s="327"/>
      <c r="R781" s="276"/>
      <c r="S781" s="322"/>
      <c r="T781" s="322"/>
      <c r="U781" s="327"/>
      <c r="V781" s="335"/>
      <c r="W781" s="327"/>
      <c r="X781" s="327"/>
      <c r="Y781" s="327"/>
      <c r="Z781" s="107"/>
      <c r="AA781" s="335"/>
      <c r="AB781" s="335"/>
      <c r="AC781" s="327"/>
      <c r="AD781" s="327"/>
      <c r="AE781" s="327"/>
      <c r="AF781" s="327"/>
      <c r="AG781" s="327"/>
      <c r="AH781" s="327"/>
      <c r="AI781" s="327"/>
      <c r="AJ781" s="327"/>
      <c r="AK781" s="336"/>
      <c r="AL781" s="42"/>
    </row>
    <row r="782" spans="2:38" x14ac:dyDescent="0.25">
      <c r="B782" s="327"/>
      <c r="C782" s="327"/>
      <c r="D782" s="327"/>
      <c r="E782" s="327"/>
      <c r="F782" s="327"/>
      <c r="G782" s="327"/>
      <c r="H782" s="312"/>
      <c r="I782" s="327"/>
      <c r="J782" s="327"/>
      <c r="K782" s="334"/>
      <c r="L782" s="322"/>
      <c r="M782" s="322"/>
      <c r="N782" s="327"/>
      <c r="O782" s="327"/>
      <c r="P782" s="331"/>
      <c r="Q782" s="327"/>
      <c r="R782" s="276"/>
      <c r="S782" s="322"/>
      <c r="T782" s="322"/>
      <c r="U782" s="327"/>
      <c r="V782" s="335"/>
      <c r="W782" s="327"/>
      <c r="X782" s="327"/>
      <c r="Y782" s="327"/>
      <c r="Z782" s="107"/>
      <c r="AA782" s="335"/>
      <c r="AB782" s="335"/>
      <c r="AC782" s="327"/>
      <c r="AD782" s="327"/>
      <c r="AE782" s="327"/>
      <c r="AF782" s="327"/>
      <c r="AG782" s="327"/>
      <c r="AH782" s="327"/>
      <c r="AI782" s="327"/>
      <c r="AJ782" s="327"/>
      <c r="AK782" s="336"/>
      <c r="AL782" s="42"/>
    </row>
    <row r="783" spans="2:38" x14ac:dyDescent="0.25">
      <c r="B783" s="327"/>
      <c r="C783" s="327"/>
      <c r="D783" s="327"/>
      <c r="E783" s="327"/>
      <c r="F783" s="327"/>
      <c r="G783" s="327"/>
      <c r="H783" s="312"/>
      <c r="I783" s="327"/>
      <c r="J783" s="327"/>
      <c r="K783" s="334"/>
      <c r="L783" s="322"/>
      <c r="M783" s="322"/>
      <c r="N783" s="327"/>
      <c r="O783" s="327"/>
      <c r="P783" s="331"/>
      <c r="Q783" s="327"/>
      <c r="R783" s="276"/>
      <c r="S783" s="322"/>
      <c r="T783" s="322"/>
      <c r="U783" s="327"/>
      <c r="V783" s="335"/>
      <c r="W783" s="327"/>
      <c r="X783" s="327"/>
      <c r="Y783" s="327"/>
      <c r="Z783" s="107"/>
      <c r="AA783" s="335"/>
      <c r="AB783" s="335"/>
      <c r="AC783" s="327"/>
      <c r="AD783" s="327"/>
      <c r="AE783" s="327"/>
      <c r="AF783" s="327"/>
      <c r="AG783" s="327"/>
      <c r="AH783" s="327"/>
      <c r="AI783" s="327"/>
      <c r="AJ783" s="327"/>
      <c r="AK783" s="336"/>
      <c r="AL783" s="42"/>
    </row>
    <row r="784" spans="2:38" x14ac:dyDescent="0.25">
      <c r="B784" s="327"/>
      <c r="C784" s="327"/>
      <c r="D784" s="327"/>
      <c r="E784" s="327"/>
      <c r="F784" s="327"/>
      <c r="G784" s="327"/>
      <c r="H784" s="312"/>
      <c r="I784" s="327"/>
      <c r="J784" s="327"/>
      <c r="K784" s="334"/>
      <c r="L784" s="322"/>
      <c r="M784" s="322"/>
      <c r="N784" s="327"/>
      <c r="O784" s="327"/>
      <c r="P784" s="331"/>
      <c r="Q784" s="327"/>
      <c r="R784" s="276"/>
      <c r="S784" s="322"/>
      <c r="T784" s="322"/>
      <c r="U784" s="327"/>
      <c r="V784" s="335"/>
      <c r="W784" s="327"/>
      <c r="X784" s="327"/>
      <c r="Y784" s="327"/>
      <c r="Z784" s="107"/>
      <c r="AA784" s="335"/>
      <c r="AB784" s="335"/>
      <c r="AC784" s="327"/>
      <c r="AD784" s="327"/>
      <c r="AE784" s="327"/>
      <c r="AF784" s="327"/>
      <c r="AG784" s="327"/>
      <c r="AH784" s="327"/>
      <c r="AI784" s="327"/>
      <c r="AJ784" s="327"/>
      <c r="AK784" s="336"/>
      <c r="AL784" s="42"/>
    </row>
    <row r="785" spans="2:38" x14ac:dyDescent="0.25">
      <c r="B785" s="327"/>
      <c r="C785" s="327"/>
      <c r="D785" s="327"/>
      <c r="E785" s="327"/>
      <c r="F785" s="327"/>
      <c r="G785" s="327"/>
      <c r="H785" s="312"/>
      <c r="I785" s="327"/>
      <c r="J785" s="327"/>
      <c r="K785" s="334"/>
      <c r="L785" s="322"/>
      <c r="M785" s="322"/>
      <c r="N785" s="327"/>
      <c r="O785" s="327"/>
      <c r="P785" s="331"/>
      <c r="Q785" s="327"/>
      <c r="R785" s="276"/>
      <c r="S785" s="322"/>
      <c r="T785" s="322"/>
      <c r="U785" s="327"/>
      <c r="V785" s="335"/>
      <c r="W785" s="327"/>
      <c r="X785" s="327"/>
      <c r="Y785" s="327"/>
      <c r="Z785" s="107"/>
      <c r="AA785" s="335"/>
      <c r="AB785" s="335"/>
      <c r="AC785" s="327"/>
      <c r="AD785" s="327"/>
      <c r="AE785" s="327"/>
      <c r="AF785" s="327"/>
      <c r="AG785" s="327"/>
      <c r="AH785" s="327"/>
      <c r="AI785" s="327"/>
      <c r="AJ785" s="327"/>
      <c r="AK785" s="336"/>
      <c r="AL785" s="42"/>
    </row>
    <row r="786" spans="2:38" x14ac:dyDescent="0.25">
      <c r="B786" s="327"/>
      <c r="C786" s="327"/>
      <c r="D786" s="327"/>
      <c r="E786" s="327"/>
      <c r="F786" s="327"/>
      <c r="G786" s="327"/>
      <c r="H786" s="312"/>
      <c r="I786" s="327"/>
      <c r="J786" s="327"/>
      <c r="K786" s="334"/>
      <c r="L786" s="322"/>
      <c r="M786" s="322"/>
      <c r="N786" s="327"/>
      <c r="O786" s="327"/>
      <c r="P786" s="331"/>
      <c r="Q786" s="327"/>
      <c r="R786" s="276"/>
      <c r="S786" s="322"/>
      <c r="T786" s="322"/>
      <c r="U786" s="327"/>
      <c r="V786" s="335"/>
      <c r="W786" s="327"/>
      <c r="X786" s="327"/>
      <c r="Y786" s="327"/>
      <c r="Z786" s="107"/>
      <c r="AA786" s="335"/>
      <c r="AB786" s="335"/>
      <c r="AC786" s="327"/>
      <c r="AD786" s="327"/>
      <c r="AE786" s="327"/>
      <c r="AF786" s="327"/>
      <c r="AG786" s="327"/>
      <c r="AH786" s="327"/>
      <c r="AI786" s="327"/>
      <c r="AJ786" s="327"/>
      <c r="AK786" s="336"/>
      <c r="AL786" s="42"/>
    </row>
    <row r="787" spans="2:38" x14ac:dyDescent="0.25">
      <c r="B787" s="327"/>
      <c r="C787" s="327"/>
      <c r="D787" s="327"/>
      <c r="E787" s="327"/>
      <c r="F787" s="327"/>
      <c r="G787" s="327"/>
      <c r="H787" s="312"/>
      <c r="I787" s="327"/>
      <c r="J787" s="327"/>
      <c r="K787" s="334"/>
      <c r="L787" s="322"/>
      <c r="M787" s="322"/>
      <c r="N787" s="327"/>
      <c r="O787" s="327"/>
      <c r="P787" s="331"/>
      <c r="Q787" s="327"/>
      <c r="R787" s="276"/>
      <c r="S787" s="322"/>
      <c r="T787" s="322"/>
      <c r="U787" s="327"/>
      <c r="V787" s="335"/>
      <c r="W787" s="327"/>
      <c r="X787" s="327"/>
      <c r="Y787" s="327"/>
      <c r="Z787" s="107"/>
      <c r="AA787" s="335"/>
      <c r="AB787" s="335"/>
      <c r="AC787" s="327"/>
      <c r="AD787" s="327"/>
      <c r="AE787" s="327"/>
      <c r="AF787" s="327"/>
      <c r="AG787" s="327"/>
      <c r="AH787" s="327"/>
      <c r="AI787" s="327"/>
      <c r="AJ787" s="327"/>
      <c r="AK787" s="336"/>
      <c r="AL787" s="42"/>
    </row>
    <row r="788" spans="2:38" x14ac:dyDescent="0.25">
      <c r="B788" s="327"/>
      <c r="C788" s="327"/>
      <c r="D788" s="327"/>
      <c r="E788" s="327"/>
      <c r="F788" s="327"/>
      <c r="G788" s="327"/>
      <c r="H788" s="312"/>
      <c r="I788" s="327"/>
      <c r="J788" s="327"/>
      <c r="K788" s="334"/>
      <c r="L788" s="322"/>
      <c r="M788" s="322"/>
      <c r="N788" s="327"/>
      <c r="O788" s="327"/>
      <c r="P788" s="331"/>
      <c r="Q788" s="327"/>
      <c r="R788" s="276"/>
      <c r="S788" s="322"/>
      <c r="T788" s="322"/>
      <c r="U788" s="327"/>
      <c r="V788" s="335"/>
      <c r="W788" s="327"/>
      <c r="X788" s="327"/>
      <c r="Y788" s="327"/>
      <c r="Z788" s="107"/>
      <c r="AA788" s="335"/>
      <c r="AB788" s="335"/>
      <c r="AC788" s="327"/>
      <c r="AD788" s="327"/>
      <c r="AE788" s="327"/>
      <c r="AF788" s="327"/>
      <c r="AG788" s="327"/>
      <c r="AH788" s="327"/>
      <c r="AI788" s="327"/>
      <c r="AJ788" s="327"/>
      <c r="AK788" s="336"/>
      <c r="AL788" s="42"/>
    </row>
    <row r="789" spans="2:38" x14ac:dyDescent="0.25">
      <c r="B789" s="327"/>
      <c r="C789" s="327"/>
      <c r="D789" s="327"/>
      <c r="E789" s="327"/>
      <c r="F789" s="327"/>
      <c r="G789" s="327"/>
      <c r="H789" s="312"/>
      <c r="I789" s="327"/>
      <c r="J789" s="327"/>
      <c r="K789" s="334"/>
      <c r="L789" s="322"/>
      <c r="M789" s="322"/>
      <c r="N789" s="327"/>
      <c r="O789" s="327"/>
      <c r="P789" s="331"/>
      <c r="Q789" s="327"/>
      <c r="R789" s="276"/>
      <c r="S789" s="322"/>
      <c r="T789" s="322"/>
      <c r="U789" s="327"/>
      <c r="V789" s="335"/>
      <c r="W789" s="327"/>
      <c r="X789" s="327"/>
      <c r="Y789" s="327"/>
      <c r="Z789" s="107"/>
      <c r="AA789" s="335"/>
      <c r="AB789" s="335"/>
      <c r="AC789" s="327"/>
      <c r="AD789" s="327"/>
      <c r="AE789" s="327"/>
      <c r="AF789" s="327"/>
      <c r="AG789" s="327"/>
      <c r="AH789" s="327"/>
      <c r="AI789" s="327"/>
      <c r="AJ789" s="327"/>
      <c r="AK789" s="336"/>
      <c r="AL789" s="42"/>
    </row>
    <row r="790" spans="2:38" x14ac:dyDescent="0.25">
      <c r="B790" s="327"/>
      <c r="C790" s="327"/>
      <c r="D790" s="327"/>
      <c r="E790" s="327"/>
      <c r="F790" s="327"/>
      <c r="G790" s="327"/>
      <c r="H790" s="312"/>
      <c r="I790" s="327"/>
      <c r="J790" s="327"/>
      <c r="K790" s="334"/>
      <c r="L790" s="322"/>
      <c r="M790" s="322"/>
      <c r="N790" s="327"/>
      <c r="O790" s="327"/>
      <c r="P790" s="331"/>
      <c r="Q790" s="327"/>
      <c r="R790" s="276"/>
      <c r="S790" s="322"/>
      <c r="T790" s="322"/>
      <c r="U790" s="327"/>
      <c r="V790" s="335"/>
      <c r="W790" s="327"/>
      <c r="X790" s="327"/>
      <c r="Y790" s="327"/>
      <c r="Z790" s="107"/>
      <c r="AA790" s="335"/>
      <c r="AB790" s="335"/>
      <c r="AC790" s="327"/>
      <c r="AD790" s="327"/>
      <c r="AE790" s="327"/>
      <c r="AF790" s="327"/>
      <c r="AG790" s="327"/>
      <c r="AH790" s="327"/>
      <c r="AI790" s="327"/>
      <c r="AJ790" s="327"/>
      <c r="AK790" s="336"/>
      <c r="AL790" s="42"/>
    </row>
    <row r="791" spans="2:38" x14ac:dyDescent="0.25">
      <c r="B791" s="327"/>
      <c r="C791" s="327"/>
      <c r="D791" s="327"/>
      <c r="E791" s="327"/>
      <c r="F791" s="327"/>
      <c r="G791" s="327"/>
      <c r="H791" s="312"/>
      <c r="I791" s="327"/>
      <c r="J791" s="327"/>
      <c r="K791" s="334"/>
      <c r="L791" s="322"/>
      <c r="M791" s="322"/>
      <c r="N791" s="327"/>
      <c r="O791" s="327"/>
      <c r="P791" s="331"/>
      <c r="Q791" s="327"/>
      <c r="R791" s="276"/>
      <c r="S791" s="322"/>
      <c r="T791" s="322"/>
      <c r="U791" s="327"/>
      <c r="V791" s="335"/>
      <c r="W791" s="327"/>
      <c r="X791" s="327"/>
      <c r="Y791" s="327"/>
      <c r="Z791" s="107"/>
      <c r="AA791" s="335"/>
      <c r="AB791" s="335"/>
      <c r="AC791" s="327"/>
      <c r="AD791" s="327"/>
      <c r="AE791" s="327"/>
      <c r="AF791" s="327"/>
      <c r="AG791" s="327"/>
      <c r="AH791" s="327"/>
      <c r="AI791" s="327"/>
      <c r="AJ791" s="327"/>
      <c r="AK791" s="336"/>
      <c r="AL791" s="42"/>
    </row>
    <row r="792" spans="2:38" x14ac:dyDescent="0.25">
      <c r="B792" s="327"/>
      <c r="C792" s="327"/>
      <c r="D792" s="327"/>
      <c r="E792" s="327"/>
      <c r="F792" s="327"/>
      <c r="G792" s="327"/>
      <c r="H792" s="312"/>
      <c r="I792" s="327"/>
      <c r="J792" s="327"/>
      <c r="K792" s="334"/>
      <c r="L792" s="322"/>
      <c r="M792" s="322"/>
      <c r="N792" s="327"/>
      <c r="O792" s="327"/>
      <c r="P792" s="331"/>
      <c r="Q792" s="327"/>
      <c r="R792" s="276"/>
      <c r="S792" s="322"/>
      <c r="T792" s="322"/>
      <c r="U792" s="327"/>
      <c r="V792" s="335"/>
      <c r="W792" s="327"/>
      <c r="X792" s="327"/>
      <c r="Y792" s="327"/>
      <c r="Z792" s="107"/>
      <c r="AA792" s="335"/>
      <c r="AB792" s="335"/>
      <c r="AC792" s="327"/>
      <c r="AD792" s="327"/>
      <c r="AE792" s="327"/>
      <c r="AF792" s="327"/>
      <c r="AG792" s="327"/>
      <c r="AH792" s="327"/>
      <c r="AI792" s="327"/>
      <c r="AJ792" s="327"/>
      <c r="AK792" s="336"/>
      <c r="AL792" s="42"/>
    </row>
    <row r="793" spans="2:38" x14ac:dyDescent="0.25">
      <c r="B793" s="327"/>
      <c r="C793" s="327"/>
      <c r="D793" s="327"/>
      <c r="E793" s="327"/>
      <c r="F793" s="327"/>
      <c r="G793" s="327"/>
      <c r="H793" s="312"/>
      <c r="I793" s="327"/>
      <c r="J793" s="327"/>
      <c r="K793" s="334"/>
      <c r="L793" s="322"/>
      <c r="M793" s="322"/>
      <c r="N793" s="327"/>
      <c r="O793" s="327"/>
      <c r="P793" s="331"/>
      <c r="Q793" s="327"/>
      <c r="R793" s="276"/>
      <c r="S793" s="322"/>
      <c r="T793" s="322"/>
      <c r="U793" s="327"/>
      <c r="V793" s="335"/>
      <c r="W793" s="327"/>
      <c r="X793" s="327"/>
      <c r="Y793" s="327"/>
      <c r="Z793" s="107"/>
      <c r="AA793" s="335"/>
      <c r="AB793" s="335"/>
      <c r="AC793" s="327"/>
      <c r="AD793" s="327"/>
      <c r="AE793" s="327"/>
      <c r="AF793" s="327"/>
      <c r="AG793" s="327"/>
      <c r="AH793" s="327"/>
      <c r="AI793" s="327"/>
      <c r="AJ793" s="327"/>
      <c r="AK793" s="336"/>
      <c r="AL793" s="42"/>
    </row>
    <row r="794" spans="2:38" x14ac:dyDescent="0.25">
      <c r="B794" s="327"/>
      <c r="C794" s="327"/>
      <c r="D794" s="327"/>
      <c r="E794" s="327"/>
      <c r="F794" s="327"/>
      <c r="G794" s="327"/>
      <c r="H794" s="312"/>
      <c r="I794" s="327"/>
      <c r="J794" s="327"/>
      <c r="K794" s="334"/>
      <c r="L794" s="322"/>
      <c r="M794" s="322"/>
      <c r="N794" s="327"/>
      <c r="O794" s="327"/>
      <c r="P794" s="331"/>
      <c r="Q794" s="327"/>
      <c r="R794" s="276"/>
      <c r="S794" s="322"/>
      <c r="T794" s="322"/>
      <c r="U794" s="327"/>
      <c r="V794" s="335"/>
      <c r="W794" s="327"/>
      <c r="X794" s="327"/>
      <c r="Y794" s="327"/>
      <c r="Z794" s="107"/>
      <c r="AA794" s="335"/>
      <c r="AB794" s="335"/>
      <c r="AC794" s="327"/>
      <c r="AD794" s="327"/>
      <c r="AE794" s="327"/>
      <c r="AF794" s="327"/>
      <c r="AG794" s="327"/>
      <c r="AH794" s="327"/>
      <c r="AI794" s="327"/>
      <c r="AJ794" s="327"/>
      <c r="AK794" s="336"/>
      <c r="AL794" s="42"/>
    </row>
    <row r="795" spans="2:38" x14ac:dyDescent="0.25">
      <c r="B795" s="327"/>
      <c r="C795" s="327"/>
      <c r="D795" s="327"/>
      <c r="E795" s="327"/>
      <c r="F795" s="327"/>
      <c r="G795" s="327"/>
      <c r="H795" s="312"/>
      <c r="I795" s="327"/>
      <c r="J795" s="327"/>
      <c r="K795" s="334"/>
      <c r="L795" s="322"/>
      <c r="M795" s="322"/>
      <c r="N795" s="327"/>
      <c r="O795" s="327"/>
      <c r="P795" s="331"/>
      <c r="Q795" s="327"/>
      <c r="R795" s="276"/>
      <c r="S795" s="322"/>
      <c r="T795" s="322"/>
      <c r="U795" s="327"/>
      <c r="V795" s="335"/>
      <c r="W795" s="327"/>
      <c r="X795" s="327"/>
      <c r="Y795" s="327"/>
      <c r="Z795" s="107"/>
      <c r="AA795" s="335"/>
      <c r="AB795" s="335"/>
      <c r="AC795" s="327"/>
      <c r="AD795" s="327"/>
      <c r="AE795" s="327"/>
      <c r="AF795" s="327"/>
      <c r="AG795" s="327"/>
      <c r="AH795" s="327"/>
      <c r="AI795" s="327"/>
      <c r="AJ795" s="327"/>
      <c r="AK795" s="336"/>
      <c r="AL795" s="42"/>
    </row>
    <row r="796" spans="2:38" x14ac:dyDescent="0.25">
      <c r="B796" s="327"/>
      <c r="C796" s="327"/>
      <c r="D796" s="327"/>
      <c r="E796" s="327"/>
      <c r="F796" s="327"/>
      <c r="G796" s="327"/>
      <c r="H796" s="312"/>
      <c r="I796" s="327"/>
      <c r="J796" s="327"/>
      <c r="K796" s="334"/>
      <c r="L796" s="322"/>
      <c r="M796" s="322"/>
      <c r="N796" s="327"/>
      <c r="O796" s="327"/>
      <c r="P796" s="331"/>
      <c r="Q796" s="327"/>
      <c r="R796" s="276"/>
      <c r="S796" s="322"/>
      <c r="T796" s="322"/>
      <c r="U796" s="327"/>
      <c r="V796" s="335"/>
      <c r="W796" s="327"/>
      <c r="X796" s="327"/>
      <c r="Y796" s="327"/>
      <c r="Z796" s="107"/>
      <c r="AA796" s="335"/>
      <c r="AB796" s="335"/>
      <c r="AC796" s="327"/>
      <c r="AD796" s="327"/>
      <c r="AE796" s="327"/>
      <c r="AF796" s="327"/>
      <c r="AG796" s="327"/>
      <c r="AH796" s="327"/>
      <c r="AI796" s="327"/>
      <c r="AJ796" s="327"/>
      <c r="AK796" s="336"/>
      <c r="AL796" s="42"/>
    </row>
    <row r="797" spans="2:38" x14ac:dyDescent="0.25">
      <c r="B797" s="327"/>
      <c r="C797" s="327"/>
      <c r="D797" s="327"/>
      <c r="E797" s="327"/>
      <c r="F797" s="327"/>
      <c r="G797" s="327"/>
      <c r="H797" s="312"/>
      <c r="I797" s="327"/>
      <c r="J797" s="327"/>
      <c r="K797" s="334"/>
      <c r="L797" s="322"/>
      <c r="M797" s="322"/>
      <c r="N797" s="327"/>
      <c r="O797" s="327"/>
      <c r="P797" s="331"/>
      <c r="Q797" s="327"/>
      <c r="R797" s="276"/>
      <c r="S797" s="322"/>
      <c r="T797" s="322"/>
      <c r="U797" s="327"/>
      <c r="V797" s="335"/>
      <c r="W797" s="327"/>
      <c r="X797" s="327"/>
      <c r="Y797" s="327"/>
      <c r="Z797" s="107"/>
      <c r="AA797" s="335"/>
      <c r="AB797" s="335"/>
      <c r="AC797" s="327"/>
      <c r="AD797" s="327"/>
      <c r="AE797" s="327"/>
      <c r="AF797" s="327"/>
      <c r="AG797" s="327"/>
      <c r="AH797" s="327"/>
      <c r="AI797" s="327"/>
      <c r="AJ797" s="327"/>
      <c r="AK797" s="336"/>
      <c r="AL797" s="42"/>
    </row>
    <row r="798" spans="2:38" x14ac:dyDescent="0.25">
      <c r="B798" s="327"/>
      <c r="C798" s="327"/>
      <c r="D798" s="327"/>
      <c r="E798" s="327"/>
      <c r="F798" s="327"/>
      <c r="G798" s="327"/>
      <c r="H798" s="312"/>
      <c r="I798" s="327"/>
      <c r="J798" s="327"/>
      <c r="K798" s="334"/>
      <c r="L798" s="322"/>
      <c r="M798" s="322"/>
      <c r="N798" s="327"/>
      <c r="O798" s="327"/>
      <c r="P798" s="331"/>
      <c r="Q798" s="327"/>
      <c r="R798" s="276"/>
      <c r="S798" s="322"/>
      <c r="T798" s="322"/>
      <c r="U798" s="327"/>
      <c r="V798" s="335"/>
      <c r="W798" s="327"/>
      <c r="X798" s="327"/>
      <c r="Y798" s="327"/>
      <c r="Z798" s="107"/>
      <c r="AA798" s="335"/>
      <c r="AB798" s="335"/>
      <c r="AC798" s="327"/>
      <c r="AD798" s="327"/>
      <c r="AE798" s="327"/>
      <c r="AF798" s="327"/>
      <c r="AG798" s="327"/>
      <c r="AH798" s="327"/>
      <c r="AI798" s="327"/>
      <c r="AJ798" s="327"/>
      <c r="AK798" s="336"/>
      <c r="AL798" s="42"/>
    </row>
    <row r="799" spans="2:38" x14ac:dyDescent="0.25">
      <c r="B799" s="327"/>
      <c r="C799" s="327"/>
      <c r="D799" s="327"/>
      <c r="E799" s="327"/>
      <c r="F799" s="327"/>
      <c r="G799" s="327"/>
      <c r="H799" s="312"/>
      <c r="I799" s="327"/>
      <c r="J799" s="327"/>
      <c r="K799" s="334"/>
      <c r="L799" s="322"/>
      <c r="M799" s="322"/>
      <c r="N799" s="327"/>
      <c r="O799" s="327"/>
      <c r="P799" s="331"/>
      <c r="Q799" s="327"/>
      <c r="R799" s="276"/>
      <c r="S799" s="322"/>
      <c r="T799" s="322"/>
      <c r="U799" s="327"/>
      <c r="V799" s="335"/>
      <c r="W799" s="327"/>
      <c r="X799" s="327"/>
      <c r="Y799" s="327"/>
      <c r="Z799" s="107"/>
      <c r="AA799" s="335"/>
      <c r="AB799" s="335"/>
      <c r="AC799" s="327"/>
      <c r="AD799" s="327"/>
      <c r="AE799" s="327"/>
      <c r="AF799" s="327"/>
      <c r="AG799" s="327"/>
      <c r="AH799" s="327"/>
      <c r="AI799" s="327"/>
      <c r="AJ799" s="327"/>
      <c r="AK799" s="336"/>
      <c r="AL799" s="42"/>
    </row>
    <row r="800" spans="2:38" x14ac:dyDescent="0.25">
      <c r="B800" s="327"/>
      <c r="C800" s="327"/>
      <c r="D800" s="327"/>
      <c r="E800" s="327"/>
      <c r="F800" s="327"/>
      <c r="G800" s="327"/>
      <c r="H800" s="312"/>
      <c r="I800" s="327"/>
      <c r="J800" s="327"/>
      <c r="K800" s="334"/>
      <c r="L800" s="322"/>
      <c r="M800" s="322"/>
      <c r="N800" s="327"/>
      <c r="O800" s="327"/>
      <c r="P800" s="331"/>
      <c r="Q800" s="327"/>
      <c r="R800" s="276"/>
      <c r="S800" s="322"/>
      <c r="T800" s="322"/>
      <c r="U800" s="327"/>
      <c r="V800" s="335"/>
      <c r="W800" s="327"/>
      <c r="X800" s="327"/>
      <c r="Y800" s="327"/>
      <c r="Z800" s="107"/>
      <c r="AA800" s="335"/>
      <c r="AB800" s="335"/>
      <c r="AC800" s="327"/>
      <c r="AD800" s="327"/>
      <c r="AE800" s="327"/>
      <c r="AF800" s="327"/>
      <c r="AG800" s="327"/>
      <c r="AH800" s="327"/>
      <c r="AI800" s="327"/>
      <c r="AJ800" s="327"/>
      <c r="AK800" s="336"/>
      <c r="AL800" s="42"/>
    </row>
    <row r="801" spans="2:38" x14ac:dyDescent="0.25">
      <c r="B801" s="327"/>
      <c r="C801" s="327"/>
      <c r="D801" s="327"/>
      <c r="E801" s="327"/>
      <c r="F801" s="327"/>
      <c r="G801" s="327"/>
      <c r="H801" s="312"/>
      <c r="I801" s="327"/>
      <c r="J801" s="327"/>
      <c r="K801" s="334"/>
      <c r="L801" s="322"/>
      <c r="M801" s="322"/>
      <c r="N801" s="327"/>
      <c r="O801" s="327"/>
      <c r="P801" s="331"/>
      <c r="Q801" s="327"/>
      <c r="R801" s="276"/>
      <c r="S801" s="322"/>
      <c r="T801" s="322"/>
      <c r="U801" s="327"/>
      <c r="V801" s="335"/>
      <c r="W801" s="327"/>
      <c r="X801" s="327"/>
      <c r="Y801" s="327"/>
      <c r="Z801" s="107"/>
      <c r="AA801" s="335"/>
      <c r="AB801" s="335"/>
      <c r="AC801" s="327"/>
      <c r="AD801" s="327"/>
      <c r="AE801" s="327"/>
      <c r="AF801" s="327"/>
      <c r="AG801" s="327"/>
      <c r="AH801" s="327"/>
      <c r="AI801" s="327"/>
      <c r="AJ801" s="327"/>
      <c r="AK801" s="336"/>
      <c r="AL801" s="42"/>
    </row>
    <row r="802" spans="2:38" x14ac:dyDescent="0.25">
      <c r="B802" s="327"/>
      <c r="C802" s="327"/>
      <c r="D802" s="327"/>
      <c r="E802" s="327"/>
      <c r="F802" s="327"/>
      <c r="G802" s="327"/>
      <c r="H802" s="312"/>
      <c r="I802" s="327"/>
      <c r="J802" s="327"/>
      <c r="K802" s="334"/>
      <c r="L802" s="322"/>
      <c r="M802" s="322"/>
      <c r="N802" s="327"/>
      <c r="O802" s="327"/>
      <c r="P802" s="331"/>
      <c r="Q802" s="327"/>
      <c r="R802" s="276"/>
      <c r="S802" s="322"/>
      <c r="T802" s="322"/>
      <c r="U802" s="327"/>
      <c r="V802" s="335"/>
      <c r="W802" s="327"/>
      <c r="X802" s="327"/>
      <c r="Y802" s="327"/>
      <c r="Z802" s="107"/>
      <c r="AA802" s="335"/>
      <c r="AB802" s="335"/>
      <c r="AC802" s="327"/>
      <c r="AD802" s="327"/>
      <c r="AE802" s="327"/>
      <c r="AF802" s="327"/>
      <c r="AG802" s="327"/>
      <c r="AH802" s="327"/>
      <c r="AI802" s="327"/>
      <c r="AJ802" s="327"/>
      <c r="AK802" s="336"/>
      <c r="AL802" s="42"/>
    </row>
    <row r="803" spans="2:38" x14ac:dyDescent="0.25">
      <c r="B803" s="327"/>
      <c r="C803" s="327"/>
      <c r="D803" s="327"/>
      <c r="E803" s="327"/>
      <c r="F803" s="327"/>
      <c r="G803" s="327"/>
      <c r="H803" s="312"/>
      <c r="I803" s="327"/>
      <c r="J803" s="327"/>
      <c r="K803" s="334"/>
      <c r="L803" s="322"/>
      <c r="M803" s="322"/>
      <c r="N803" s="327"/>
      <c r="O803" s="327"/>
      <c r="P803" s="331"/>
      <c r="Q803" s="327"/>
      <c r="R803" s="276"/>
      <c r="S803" s="322"/>
      <c r="T803" s="322"/>
      <c r="U803" s="327"/>
      <c r="V803" s="335"/>
      <c r="W803" s="327"/>
      <c r="X803" s="327"/>
      <c r="Y803" s="327"/>
      <c r="Z803" s="107"/>
      <c r="AA803" s="335"/>
      <c r="AB803" s="335"/>
      <c r="AC803" s="327"/>
      <c r="AD803" s="327"/>
      <c r="AE803" s="327"/>
      <c r="AF803" s="327"/>
      <c r="AG803" s="327"/>
      <c r="AH803" s="327"/>
      <c r="AI803" s="327"/>
      <c r="AJ803" s="327"/>
      <c r="AK803" s="336"/>
      <c r="AL803" s="42"/>
    </row>
    <row r="804" spans="2:38" x14ac:dyDescent="0.25">
      <c r="B804" s="327"/>
      <c r="C804" s="327"/>
      <c r="D804" s="327"/>
      <c r="E804" s="327"/>
      <c r="F804" s="327"/>
      <c r="G804" s="327"/>
      <c r="H804" s="312"/>
      <c r="I804" s="327"/>
      <c r="J804" s="327"/>
      <c r="K804" s="334"/>
      <c r="L804" s="322"/>
      <c r="M804" s="322"/>
      <c r="N804" s="327"/>
      <c r="O804" s="327"/>
      <c r="P804" s="331"/>
      <c r="Q804" s="327"/>
      <c r="R804" s="276"/>
      <c r="S804" s="322"/>
      <c r="T804" s="322"/>
      <c r="U804" s="327"/>
      <c r="V804" s="335"/>
      <c r="W804" s="327"/>
      <c r="X804" s="327"/>
      <c r="Y804" s="327"/>
      <c r="Z804" s="107"/>
      <c r="AA804" s="335"/>
      <c r="AB804" s="335"/>
      <c r="AC804" s="327"/>
      <c r="AD804" s="327"/>
      <c r="AE804" s="327"/>
      <c r="AF804" s="327"/>
      <c r="AG804" s="327"/>
      <c r="AH804" s="327"/>
      <c r="AI804" s="327"/>
      <c r="AJ804" s="327"/>
      <c r="AK804" s="336"/>
      <c r="AL804" s="42"/>
    </row>
    <row r="805" spans="2:38" x14ac:dyDescent="0.25">
      <c r="B805" s="327"/>
      <c r="C805" s="327"/>
      <c r="D805" s="327"/>
      <c r="E805" s="327"/>
      <c r="F805" s="327"/>
      <c r="G805" s="327"/>
      <c r="H805" s="312"/>
      <c r="I805" s="327"/>
      <c r="J805" s="327"/>
      <c r="K805" s="334"/>
      <c r="L805" s="322"/>
      <c r="M805" s="322"/>
      <c r="N805" s="327"/>
      <c r="O805" s="327"/>
      <c r="P805" s="331"/>
      <c r="Q805" s="327"/>
      <c r="R805" s="276"/>
      <c r="S805" s="322"/>
      <c r="T805" s="322"/>
      <c r="U805" s="327"/>
      <c r="V805" s="335"/>
      <c r="W805" s="327"/>
      <c r="X805" s="327"/>
      <c r="Y805" s="327"/>
      <c r="Z805" s="107"/>
      <c r="AA805" s="335"/>
      <c r="AB805" s="335"/>
      <c r="AC805" s="327"/>
      <c r="AD805" s="327"/>
      <c r="AE805" s="327"/>
      <c r="AF805" s="327"/>
      <c r="AG805" s="327"/>
      <c r="AH805" s="327"/>
      <c r="AI805" s="327"/>
      <c r="AJ805" s="327"/>
      <c r="AK805" s="336"/>
      <c r="AL805" s="42"/>
    </row>
    <row r="806" spans="2:38" x14ac:dyDescent="0.25">
      <c r="B806" s="327"/>
      <c r="C806" s="327"/>
      <c r="D806" s="327"/>
      <c r="E806" s="327"/>
      <c r="F806" s="327"/>
      <c r="G806" s="327"/>
      <c r="H806" s="312"/>
      <c r="I806" s="327"/>
      <c r="J806" s="327"/>
      <c r="K806" s="334"/>
      <c r="L806" s="322"/>
      <c r="M806" s="322"/>
      <c r="N806" s="327"/>
      <c r="O806" s="327"/>
      <c r="P806" s="331"/>
      <c r="Q806" s="327"/>
      <c r="R806" s="276"/>
      <c r="S806" s="322"/>
      <c r="T806" s="322"/>
      <c r="U806" s="327"/>
      <c r="V806" s="335"/>
      <c r="W806" s="327"/>
      <c r="X806" s="327"/>
      <c r="Y806" s="327"/>
      <c r="Z806" s="107"/>
      <c r="AA806" s="335"/>
      <c r="AB806" s="335"/>
      <c r="AC806" s="327"/>
      <c r="AD806" s="327"/>
      <c r="AE806" s="327"/>
      <c r="AF806" s="327"/>
      <c r="AG806" s="327"/>
      <c r="AH806" s="327"/>
      <c r="AI806" s="327"/>
      <c r="AJ806" s="327"/>
      <c r="AK806" s="336"/>
      <c r="AL806" s="42"/>
    </row>
    <row r="807" spans="2:38" x14ac:dyDescent="0.25">
      <c r="B807" s="327"/>
      <c r="C807" s="327"/>
      <c r="D807" s="327"/>
      <c r="E807" s="327"/>
      <c r="F807" s="327"/>
      <c r="G807" s="327"/>
      <c r="H807" s="312"/>
      <c r="I807" s="327"/>
      <c r="J807" s="327"/>
      <c r="K807" s="334"/>
      <c r="L807" s="322"/>
      <c r="M807" s="322"/>
      <c r="N807" s="327"/>
      <c r="O807" s="327"/>
      <c r="P807" s="331"/>
      <c r="Q807" s="327"/>
      <c r="R807" s="276"/>
      <c r="S807" s="322"/>
      <c r="T807" s="322"/>
      <c r="U807" s="327"/>
      <c r="V807" s="335"/>
      <c r="W807" s="327"/>
      <c r="X807" s="327"/>
      <c r="Y807" s="327"/>
      <c r="Z807" s="107"/>
      <c r="AA807" s="335"/>
      <c r="AB807" s="335"/>
      <c r="AC807" s="327"/>
      <c r="AD807" s="327"/>
      <c r="AE807" s="327"/>
      <c r="AF807" s="327"/>
      <c r="AG807" s="327"/>
      <c r="AH807" s="327"/>
      <c r="AI807" s="327"/>
      <c r="AJ807" s="327"/>
      <c r="AK807" s="336"/>
      <c r="AL807" s="42"/>
    </row>
    <row r="808" spans="2:38" x14ac:dyDescent="0.25">
      <c r="B808" s="327"/>
      <c r="C808" s="327"/>
      <c r="D808" s="327"/>
      <c r="E808" s="327"/>
      <c r="F808" s="327"/>
      <c r="G808" s="327"/>
      <c r="H808" s="312"/>
      <c r="I808" s="327"/>
      <c r="J808" s="327"/>
      <c r="K808" s="334"/>
      <c r="L808" s="322"/>
      <c r="M808" s="322"/>
      <c r="N808" s="327"/>
      <c r="O808" s="327"/>
      <c r="P808" s="331"/>
      <c r="Q808" s="327"/>
      <c r="R808" s="276"/>
      <c r="S808" s="322"/>
      <c r="T808" s="322"/>
      <c r="U808" s="327"/>
      <c r="V808" s="335"/>
      <c r="W808" s="327"/>
      <c r="X808" s="327"/>
      <c r="Y808" s="327"/>
      <c r="Z808" s="107"/>
      <c r="AA808" s="335"/>
      <c r="AB808" s="335"/>
      <c r="AC808" s="327"/>
      <c r="AD808" s="327"/>
      <c r="AE808" s="327"/>
      <c r="AF808" s="327"/>
      <c r="AG808" s="327"/>
      <c r="AH808" s="327"/>
      <c r="AI808" s="327"/>
      <c r="AJ808" s="327"/>
      <c r="AK808" s="336"/>
      <c r="AL808" s="42"/>
    </row>
    <row r="809" spans="2:38" x14ac:dyDescent="0.25">
      <c r="B809" s="327"/>
      <c r="C809" s="327"/>
      <c r="D809" s="327"/>
      <c r="E809" s="327"/>
      <c r="F809" s="327"/>
      <c r="G809" s="327"/>
      <c r="H809" s="312"/>
      <c r="I809" s="327"/>
      <c r="J809" s="327"/>
      <c r="K809" s="334"/>
      <c r="L809" s="322"/>
      <c r="M809" s="322"/>
      <c r="N809" s="327"/>
      <c r="O809" s="327"/>
      <c r="P809" s="331"/>
      <c r="Q809" s="327"/>
      <c r="R809" s="276"/>
      <c r="S809" s="322"/>
      <c r="T809" s="322"/>
      <c r="U809" s="327"/>
      <c r="V809" s="335"/>
      <c r="W809" s="327"/>
      <c r="X809" s="327"/>
      <c r="Y809" s="327"/>
      <c r="Z809" s="107"/>
      <c r="AA809" s="335"/>
      <c r="AB809" s="335"/>
      <c r="AC809" s="327"/>
      <c r="AD809" s="327"/>
      <c r="AE809" s="327"/>
      <c r="AF809" s="327"/>
      <c r="AG809" s="327"/>
      <c r="AH809" s="327"/>
      <c r="AI809" s="327"/>
      <c r="AJ809" s="327"/>
      <c r="AK809" s="336"/>
      <c r="AL809" s="42"/>
    </row>
    <row r="810" spans="2:38" x14ac:dyDescent="0.25">
      <c r="B810" s="327"/>
      <c r="C810" s="327"/>
      <c r="D810" s="327"/>
      <c r="E810" s="327"/>
      <c r="F810" s="327"/>
      <c r="G810" s="327"/>
      <c r="H810" s="312"/>
      <c r="I810" s="327"/>
      <c r="J810" s="327"/>
      <c r="K810" s="334"/>
      <c r="L810" s="322"/>
      <c r="M810" s="322"/>
      <c r="N810" s="327"/>
      <c r="O810" s="327"/>
      <c r="P810" s="331"/>
      <c r="Q810" s="327"/>
      <c r="R810" s="276"/>
      <c r="S810" s="322"/>
      <c r="T810" s="322"/>
      <c r="U810" s="327"/>
      <c r="V810" s="335"/>
      <c r="W810" s="327"/>
      <c r="X810" s="327"/>
      <c r="Y810" s="327"/>
      <c r="Z810" s="107"/>
      <c r="AA810" s="335"/>
      <c r="AB810" s="335"/>
      <c r="AC810" s="327"/>
      <c r="AD810" s="327"/>
      <c r="AE810" s="327"/>
      <c r="AF810" s="327"/>
      <c r="AG810" s="327"/>
      <c r="AH810" s="327"/>
      <c r="AI810" s="327"/>
      <c r="AJ810" s="327"/>
      <c r="AK810" s="336"/>
      <c r="AL810" s="42"/>
    </row>
    <row r="811" spans="2:38" x14ac:dyDescent="0.25">
      <c r="B811" s="327"/>
      <c r="C811" s="327"/>
      <c r="D811" s="327"/>
      <c r="E811" s="327"/>
      <c r="F811" s="327"/>
      <c r="G811" s="327"/>
      <c r="H811" s="312"/>
      <c r="I811" s="327"/>
      <c r="J811" s="327"/>
      <c r="K811" s="334"/>
      <c r="L811" s="322"/>
      <c r="M811" s="322"/>
      <c r="N811" s="327"/>
      <c r="O811" s="327"/>
      <c r="P811" s="331"/>
      <c r="Q811" s="327"/>
      <c r="R811" s="276"/>
      <c r="S811" s="322"/>
      <c r="T811" s="322"/>
      <c r="U811" s="327"/>
      <c r="V811" s="335"/>
      <c r="W811" s="327"/>
      <c r="X811" s="327"/>
      <c r="Y811" s="327"/>
      <c r="Z811" s="107"/>
      <c r="AA811" s="335"/>
      <c r="AB811" s="335"/>
      <c r="AC811" s="327"/>
      <c r="AD811" s="327"/>
      <c r="AE811" s="327"/>
      <c r="AF811" s="327"/>
      <c r="AG811" s="327"/>
      <c r="AH811" s="327"/>
      <c r="AI811" s="327"/>
      <c r="AJ811" s="327"/>
      <c r="AK811" s="336"/>
      <c r="AL811" s="42"/>
    </row>
    <row r="812" spans="2:38" x14ac:dyDescent="0.25">
      <c r="B812" s="327"/>
      <c r="C812" s="327"/>
      <c r="D812" s="327"/>
      <c r="E812" s="327"/>
      <c r="F812" s="327"/>
      <c r="G812" s="327"/>
      <c r="H812" s="312"/>
      <c r="I812" s="327"/>
      <c r="J812" s="327"/>
      <c r="K812" s="334"/>
      <c r="L812" s="322"/>
      <c r="M812" s="322"/>
      <c r="N812" s="327"/>
      <c r="O812" s="327"/>
      <c r="P812" s="331"/>
      <c r="Q812" s="327"/>
      <c r="R812" s="276"/>
      <c r="S812" s="322"/>
      <c r="T812" s="322"/>
      <c r="U812" s="327"/>
      <c r="V812" s="335"/>
      <c r="W812" s="327"/>
      <c r="X812" s="327"/>
      <c r="Y812" s="327"/>
      <c r="Z812" s="107"/>
      <c r="AA812" s="335"/>
      <c r="AB812" s="335"/>
      <c r="AC812" s="327"/>
      <c r="AD812" s="327"/>
      <c r="AE812" s="327"/>
      <c r="AF812" s="327"/>
      <c r="AG812" s="327"/>
      <c r="AH812" s="327"/>
      <c r="AI812" s="327"/>
      <c r="AJ812" s="327"/>
      <c r="AK812" s="336"/>
      <c r="AL812" s="42"/>
    </row>
    <row r="813" spans="2:38" x14ac:dyDescent="0.25">
      <c r="B813" s="327"/>
      <c r="C813" s="327"/>
      <c r="D813" s="327"/>
      <c r="E813" s="327"/>
      <c r="F813" s="327"/>
      <c r="G813" s="327"/>
      <c r="H813" s="312"/>
      <c r="I813" s="327"/>
      <c r="J813" s="327"/>
      <c r="K813" s="334"/>
      <c r="L813" s="322"/>
      <c r="M813" s="322"/>
      <c r="N813" s="327"/>
      <c r="O813" s="327"/>
      <c r="P813" s="331"/>
      <c r="Q813" s="327"/>
      <c r="R813" s="276"/>
      <c r="S813" s="322"/>
      <c r="T813" s="322"/>
      <c r="U813" s="327"/>
      <c r="V813" s="335"/>
      <c r="W813" s="327"/>
      <c r="X813" s="327"/>
      <c r="Y813" s="327"/>
      <c r="Z813" s="107"/>
      <c r="AA813" s="335"/>
      <c r="AB813" s="335"/>
      <c r="AC813" s="327"/>
      <c r="AD813" s="327"/>
      <c r="AE813" s="327"/>
      <c r="AF813" s="327"/>
      <c r="AG813" s="327"/>
      <c r="AH813" s="327"/>
      <c r="AI813" s="327"/>
      <c r="AJ813" s="327"/>
      <c r="AK813" s="336"/>
      <c r="AL813" s="42"/>
    </row>
    <row r="814" spans="2:38" x14ac:dyDescent="0.25">
      <c r="B814" s="327"/>
      <c r="C814" s="327"/>
      <c r="D814" s="327"/>
      <c r="E814" s="327"/>
      <c r="F814" s="327"/>
      <c r="G814" s="327"/>
      <c r="H814" s="312"/>
      <c r="I814" s="327"/>
      <c r="J814" s="327"/>
      <c r="K814" s="334"/>
      <c r="L814" s="322"/>
      <c r="M814" s="322"/>
      <c r="N814" s="327"/>
      <c r="O814" s="327"/>
      <c r="P814" s="331"/>
      <c r="Q814" s="327"/>
      <c r="R814" s="276"/>
      <c r="S814" s="322"/>
      <c r="T814" s="322"/>
      <c r="U814" s="327"/>
      <c r="V814" s="335"/>
      <c r="W814" s="327"/>
      <c r="X814" s="327"/>
      <c r="Y814" s="327"/>
      <c r="Z814" s="107"/>
      <c r="AA814" s="335"/>
      <c r="AB814" s="335"/>
      <c r="AC814" s="327"/>
      <c r="AD814" s="327"/>
      <c r="AE814" s="327"/>
      <c r="AF814" s="327"/>
      <c r="AG814" s="327"/>
      <c r="AH814" s="327"/>
      <c r="AI814" s="327"/>
      <c r="AJ814" s="327"/>
      <c r="AK814" s="336"/>
      <c r="AL814" s="42"/>
    </row>
    <row r="815" spans="2:38" x14ac:dyDescent="0.25">
      <c r="B815" s="327"/>
      <c r="C815" s="327"/>
      <c r="D815" s="327"/>
      <c r="E815" s="327"/>
      <c r="F815" s="327"/>
      <c r="G815" s="327"/>
      <c r="H815" s="312"/>
      <c r="I815" s="327"/>
      <c r="J815" s="327"/>
      <c r="K815" s="334"/>
      <c r="L815" s="322"/>
      <c r="M815" s="322"/>
      <c r="N815" s="327"/>
      <c r="O815" s="327"/>
      <c r="P815" s="331"/>
      <c r="Q815" s="327"/>
      <c r="R815" s="276"/>
      <c r="S815" s="322"/>
      <c r="T815" s="322"/>
      <c r="U815" s="327"/>
      <c r="V815" s="335"/>
      <c r="W815" s="327"/>
      <c r="X815" s="327"/>
      <c r="Y815" s="327"/>
      <c r="Z815" s="107"/>
      <c r="AA815" s="335"/>
      <c r="AB815" s="335"/>
      <c r="AC815" s="327"/>
      <c r="AD815" s="327"/>
      <c r="AE815" s="327"/>
      <c r="AF815" s="327"/>
      <c r="AG815" s="327"/>
      <c r="AH815" s="327"/>
      <c r="AI815" s="327"/>
      <c r="AJ815" s="327"/>
      <c r="AK815" s="336"/>
      <c r="AL815" s="42"/>
    </row>
    <row r="816" spans="2:38" x14ac:dyDescent="0.25">
      <c r="B816" s="327"/>
      <c r="C816" s="327"/>
      <c r="D816" s="327"/>
      <c r="E816" s="327"/>
      <c r="F816" s="327"/>
      <c r="G816" s="327"/>
      <c r="H816" s="312"/>
      <c r="I816" s="327"/>
      <c r="J816" s="327"/>
      <c r="K816" s="334"/>
      <c r="L816" s="322"/>
      <c r="M816" s="322"/>
      <c r="N816" s="327"/>
      <c r="O816" s="327"/>
      <c r="P816" s="331"/>
      <c r="Q816" s="327"/>
      <c r="R816" s="276"/>
      <c r="S816" s="322"/>
      <c r="T816" s="322"/>
      <c r="U816" s="327"/>
      <c r="V816" s="335"/>
      <c r="W816" s="327"/>
      <c r="X816" s="327"/>
      <c r="Y816" s="327"/>
      <c r="Z816" s="107"/>
      <c r="AA816" s="335"/>
      <c r="AB816" s="335"/>
      <c r="AC816" s="327"/>
      <c r="AD816" s="327"/>
      <c r="AE816" s="327"/>
      <c r="AF816" s="327"/>
      <c r="AG816" s="327"/>
      <c r="AH816" s="327"/>
      <c r="AI816" s="327"/>
      <c r="AJ816" s="327"/>
      <c r="AK816" s="336"/>
      <c r="AL816" s="42"/>
    </row>
    <row r="817" spans="2:38" x14ac:dyDescent="0.25">
      <c r="B817" s="327"/>
      <c r="C817" s="327"/>
      <c r="D817" s="327"/>
      <c r="E817" s="327"/>
      <c r="F817" s="327"/>
      <c r="G817" s="327"/>
      <c r="H817" s="312"/>
      <c r="I817" s="327"/>
      <c r="J817" s="327"/>
      <c r="K817" s="334"/>
      <c r="L817" s="322"/>
      <c r="M817" s="322"/>
      <c r="N817" s="327"/>
      <c r="O817" s="327"/>
      <c r="P817" s="331"/>
      <c r="Q817" s="327"/>
      <c r="R817" s="276"/>
      <c r="S817" s="322"/>
      <c r="T817" s="322"/>
      <c r="U817" s="327"/>
      <c r="V817" s="335"/>
      <c r="W817" s="327"/>
      <c r="X817" s="327"/>
      <c r="Y817" s="327"/>
      <c r="Z817" s="107"/>
      <c r="AA817" s="335"/>
      <c r="AB817" s="335"/>
      <c r="AC817" s="327"/>
      <c r="AD817" s="327"/>
      <c r="AE817" s="327"/>
      <c r="AF817" s="327"/>
      <c r="AG817" s="327"/>
      <c r="AH817" s="327"/>
      <c r="AI817" s="327"/>
      <c r="AJ817" s="327"/>
      <c r="AK817" s="336"/>
      <c r="AL817" s="42"/>
    </row>
    <row r="818" spans="2:38" x14ac:dyDescent="0.25">
      <c r="B818" s="327"/>
      <c r="C818" s="327"/>
      <c r="D818" s="327"/>
      <c r="E818" s="327"/>
      <c r="F818" s="327"/>
      <c r="G818" s="327"/>
      <c r="H818" s="312"/>
      <c r="I818" s="327"/>
      <c r="J818" s="327"/>
      <c r="K818" s="334"/>
      <c r="L818" s="322"/>
      <c r="M818" s="322"/>
      <c r="N818" s="327"/>
      <c r="O818" s="327"/>
      <c r="P818" s="331"/>
      <c r="Q818" s="327"/>
      <c r="R818" s="276"/>
      <c r="S818" s="322"/>
      <c r="T818" s="322"/>
      <c r="U818" s="327"/>
      <c r="V818" s="335"/>
      <c r="W818" s="327"/>
      <c r="X818" s="327"/>
      <c r="Y818" s="327"/>
      <c r="Z818" s="107"/>
      <c r="AA818" s="335"/>
      <c r="AB818" s="335"/>
      <c r="AC818" s="327"/>
      <c r="AD818" s="327"/>
      <c r="AE818" s="327"/>
      <c r="AF818" s="327"/>
      <c r="AG818" s="327"/>
      <c r="AH818" s="327"/>
      <c r="AI818" s="327"/>
      <c r="AJ818" s="327"/>
      <c r="AK818" s="336"/>
      <c r="AL818" s="42"/>
    </row>
    <row r="819" spans="2:38" x14ac:dyDescent="0.25">
      <c r="B819" s="327"/>
      <c r="C819" s="327"/>
      <c r="D819" s="327"/>
      <c r="E819" s="327"/>
      <c r="F819" s="327"/>
      <c r="G819" s="327"/>
      <c r="H819" s="312"/>
      <c r="I819" s="327"/>
      <c r="J819" s="327"/>
      <c r="K819" s="334"/>
      <c r="L819" s="322"/>
      <c r="M819" s="322"/>
      <c r="N819" s="327"/>
      <c r="O819" s="327"/>
      <c r="P819" s="331"/>
      <c r="Q819" s="327"/>
      <c r="R819" s="276"/>
      <c r="S819" s="322"/>
      <c r="T819" s="322"/>
      <c r="U819" s="327"/>
      <c r="V819" s="335"/>
      <c r="W819" s="327"/>
      <c r="X819" s="327"/>
      <c r="Y819" s="327"/>
      <c r="Z819" s="107"/>
      <c r="AA819" s="335"/>
      <c r="AB819" s="335"/>
      <c r="AC819" s="327"/>
      <c r="AD819" s="327"/>
      <c r="AE819" s="327"/>
      <c r="AF819" s="327"/>
      <c r="AG819" s="327"/>
      <c r="AH819" s="327"/>
      <c r="AI819" s="327"/>
      <c r="AJ819" s="327"/>
      <c r="AK819" s="336"/>
      <c r="AL819" s="42"/>
    </row>
    <row r="820" spans="2:38" x14ac:dyDescent="0.25">
      <c r="B820" s="327"/>
      <c r="C820" s="327"/>
      <c r="D820" s="327"/>
      <c r="E820" s="327"/>
      <c r="F820" s="327"/>
      <c r="G820" s="327"/>
      <c r="H820" s="312"/>
      <c r="I820" s="327"/>
      <c r="J820" s="327"/>
      <c r="K820" s="334"/>
      <c r="L820" s="322"/>
      <c r="M820" s="322"/>
      <c r="N820" s="327"/>
      <c r="O820" s="327"/>
      <c r="P820" s="331"/>
      <c r="Q820" s="327"/>
      <c r="R820" s="276"/>
      <c r="S820" s="322"/>
      <c r="T820" s="322"/>
      <c r="U820" s="327"/>
      <c r="V820" s="335"/>
      <c r="W820" s="327"/>
      <c r="X820" s="327"/>
      <c r="Y820" s="327"/>
      <c r="Z820" s="107"/>
      <c r="AA820" s="335"/>
      <c r="AB820" s="335"/>
      <c r="AC820" s="327"/>
      <c r="AD820" s="327"/>
      <c r="AE820" s="327"/>
      <c r="AF820" s="327"/>
      <c r="AG820" s="327"/>
      <c r="AH820" s="327"/>
      <c r="AI820" s="327"/>
      <c r="AJ820" s="327"/>
      <c r="AK820" s="336"/>
      <c r="AL820" s="42"/>
    </row>
    <row r="821" spans="2:38" x14ac:dyDescent="0.25">
      <c r="B821" s="327"/>
      <c r="C821" s="327"/>
      <c r="D821" s="327"/>
      <c r="E821" s="327"/>
      <c r="F821" s="327"/>
      <c r="G821" s="327"/>
      <c r="H821" s="312"/>
      <c r="I821" s="327"/>
      <c r="J821" s="327"/>
      <c r="K821" s="334"/>
      <c r="L821" s="322"/>
      <c r="M821" s="322"/>
      <c r="N821" s="327"/>
      <c r="O821" s="327"/>
      <c r="P821" s="331"/>
      <c r="Q821" s="327"/>
      <c r="R821" s="276"/>
      <c r="S821" s="322"/>
      <c r="T821" s="322"/>
      <c r="U821" s="327"/>
      <c r="V821" s="335"/>
      <c r="W821" s="327"/>
      <c r="X821" s="327"/>
      <c r="Y821" s="327"/>
      <c r="Z821" s="107"/>
      <c r="AA821" s="335"/>
      <c r="AB821" s="335"/>
      <c r="AC821" s="327"/>
      <c r="AD821" s="327"/>
      <c r="AE821" s="327"/>
      <c r="AF821" s="327"/>
      <c r="AG821" s="327"/>
      <c r="AH821" s="327"/>
      <c r="AI821" s="327"/>
      <c r="AJ821" s="327"/>
      <c r="AK821" s="336"/>
      <c r="AL821" s="42"/>
    </row>
    <row r="822" spans="2:38" x14ac:dyDescent="0.25">
      <c r="B822" s="327"/>
      <c r="C822" s="327"/>
      <c r="D822" s="327"/>
      <c r="E822" s="327"/>
      <c r="F822" s="327"/>
      <c r="G822" s="327"/>
      <c r="H822" s="312"/>
      <c r="I822" s="327"/>
      <c r="J822" s="327"/>
      <c r="K822" s="334"/>
      <c r="L822" s="322"/>
      <c r="M822" s="322"/>
      <c r="N822" s="327"/>
      <c r="O822" s="327"/>
      <c r="P822" s="331"/>
      <c r="Q822" s="327"/>
      <c r="R822" s="276"/>
      <c r="S822" s="322"/>
      <c r="T822" s="322"/>
      <c r="U822" s="327"/>
      <c r="V822" s="335"/>
      <c r="W822" s="327"/>
      <c r="X822" s="327"/>
      <c r="Y822" s="327"/>
      <c r="Z822" s="107"/>
      <c r="AA822" s="335"/>
      <c r="AB822" s="335"/>
      <c r="AC822" s="327"/>
      <c r="AD822" s="327"/>
      <c r="AE822" s="327"/>
      <c r="AF822" s="327"/>
      <c r="AG822" s="327"/>
      <c r="AH822" s="327"/>
      <c r="AI822" s="327"/>
      <c r="AJ822" s="327"/>
      <c r="AK822" s="336"/>
      <c r="AL822" s="42"/>
    </row>
    <row r="823" spans="2:38" x14ac:dyDescent="0.25">
      <c r="B823" s="327"/>
      <c r="C823" s="327"/>
      <c r="D823" s="327"/>
      <c r="E823" s="327"/>
      <c r="F823" s="327"/>
      <c r="G823" s="327"/>
      <c r="H823" s="312"/>
      <c r="I823" s="327"/>
      <c r="J823" s="327"/>
      <c r="K823" s="334"/>
      <c r="L823" s="322"/>
      <c r="M823" s="322"/>
      <c r="N823" s="327"/>
      <c r="O823" s="327"/>
      <c r="P823" s="331"/>
      <c r="Q823" s="327"/>
      <c r="R823" s="276"/>
      <c r="S823" s="322"/>
      <c r="T823" s="322"/>
      <c r="U823" s="327"/>
      <c r="V823" s="335"/>
      <c r="W823" s="327"/>
      <c r="X823" s="327"/>
      <c r="Y823" s="327"/>
      <c r="Z823" s="107"/>
      <c r="AA823" s="335"/>
      <c r="AB823" s="335"/>
      <c r="AC823" s="327"/>
      <c r="AD823" s="327"/>
      <c r="AE823" s="327"/>
      <c r="AF823" s="327"/>
      <c r="AG823" s="327"/>
      <c r="AH823" s="327"/>
      <c r="AI823" s="327"/>
      <c r="AJ823" s="327"/>
      <c r="AK823" s="336"/>
      <c r="AL823" s="42"/>
    </row>
    <row r="824" spans="2:38" x14ac:dyDescent="0.25">
      <c r="B824" s="327"/>
      <c r="C824" s="327"/>
      <c r="D824" s="327"/>
      <c r="E824" s="327"/>
      <c r="F824" s="327"/>
      <c r="G824" s="327"/>
      <c r="H824" s="312"/>
      <c r="I824" s="327"/>
      <c r="J824" s="327"/>
      <c r="K824" s="334"/>
      <c r="L824" s="322"/>
      <c r="M824" s="322"/>
      <c r="N824" s="327"/>
      <c r="O824" s="327"/>
      <c r="P824" s="331"/>
      <c r="Q824" s="327"/>
      <c r="R824" s="276"/>
      <c r="S824" s="322"/>
      <c r="T824" s="322"/>
      <c r="U824" s="327"/>
      <c r="V824" s="335"/>
      <c r="W824" s="327"/>
      <c r="X824" s="327"/>
      <c r="Y824" s="327"/>
      <c r="Z824" s="107"/>
      <c r="AA824" s="335"/>
      <c r="AB824" s="335"/>
      <c r="AC824" s="327"/>
      <c r="AD824" s="327"/>
      <c r="AE824" s="327"/>
      <c r="AF824" s="327"/>
      <c r="AG824" s="327"/>
      <c r="AH824" s="327"/>
      <c r="AI824" s="327"/>
      <c r="AJ824" s="327"/>
      <c r="AK824" s="336"/>
      <c r="AL824" s="42"/>
    </row>
    <row r="825" spans="2:38" x14ac:dyDescent="0.25">
      <c r="B825" s="327"/>
      <c r="C825" s="327"/>
      <c r="D825" s="327"/>
      <c r="E825" s="327"/>
      <c r="F825" s="327"/>
      <c r="G825" s="327"/>
      <c r="H825" s="312"/>
      <c r="I825" s="327"/>
      <c r="J825" s="327"/>
      <c r="K825" s="334"/>
      <c r="L825" s="322"/>
      <c r="M825" s="322"/>
      <c r="N825" s="327"/>
      <c r="O825" s="327"/>
      <c r="P825" s="331"/>
      <c r="Q825" s="327"/>
      <c r="R825" s="276"/>
      <c r="S825" s="322"/>
      <c r="T825" s="322"/>
      <c r="U825" s="327"/>
      <c r="V825" s="335"/>
      <c r="W825" s="327"/>
      <c r="X825" s="327"/>
      <c r="Y825" s="327"/>
      <c r="Z825" s="107"/>
      <c r="AA825" s="335"/>
      <c r="AB825" s="335"/>
      <c r="AC825" s="327"/>
      <c r="AD825" s="327"/>
      <c r="AE825" s="327"/>
      <c r="AF825" s="327"/>
      <c r="AG825" s="327"/>
      <c r="AH825" s="327"/>
      <c r="AI825" s="327"/>
      <c r="AJ825" s="327"/>
      <c r="AK825" s="336"/>
      <c r="AL825" s="42"/>
    </row>
    <row r="826" spans="2:38" x14ac:dyDescent="0.25">
      <c r="B826" s="327"/>
      <c r="C826" s="327"/>
      <c r="D826" s="327"/>
      <c r="E826" s="327"/>
      <c r="F826" s="327"/>
      <c r="G826" s="327"/>
      <c r="H826" s="312"/>
      <c r="I826" s="327"/>
      <c r="J826" s="327"/>
      <c r="K826" s="334"/>
      <c r="L826" s="322"/>
      <c r="M826" s="322"/>
      <c r="N826" s="327"/>
      <c r="O826" s="327"/>
      <c r="P826" s="331"/>
      <c r="Q826" s="327"/>
      <c r="R826" s="276"/>
      <c r="S826" s="322"/>
      <c r="T826" s="322"/>
      <c r="U826" s="327"/>
      <c r="V826" s="335"/>
      <c r="W826" s="327"/>
      <c r="X826" s="327"/>
      <c r="Y826" s="327"/>
      <c r="Z826" s="107"/>
      <c r="AA826" s="335"/>
      <c r="AB826" s="335"/>
      <c r="AC826" s="327"/>
      <c r="AD826" s="327"/>
      <c r="AE826" s="327"/>
      <c r="AF826" s="327"/>
      <c r="AG826" s="327"/>
      <c r="AH826" s="327"/>
      <c r="AI826" s="327"/>
      <c r="AJ826" s="327"/>
      <c r="AK826" s="336"/>
      <c r="AL826" s="42"/>
    </row>
    <row r="827" spans="2:38" x14ac:dyDescent="0.25">
      <c r="B827" s="327"/>
      <c r="C827" s="327"/>
      <c r="D827" s="327"/>
      <c r="E827" s="327"/>
      <c r="F827" s="327"/>
      <c r="G827" s="327"/>
      <c r="H827" s="312"/>
      <c r="I827" s="327"/>
      <c r="J827" s="327"/>
      <c r="K827" s="334"/>
      <c r="L827" s="322"/>
      <c r="M827" s="322"/>
      <c r="N827" s="327"/>
      <c r="O827" s="327"/>
      <c r="P827" s="331"/>
      <c r="Q827" s="327"/>
      <c r="R827" s="276"/>
      <c r="S827" s="322"/>
      <c r="T827" s="322"/>
      <c r="U827" s="327"/>
      <c r="V827" s="335"/>
      <c r="W827" s="327"/>
      <c r="X827" s="327"/>
      <c r="Y827" s="327"/>
      <c r="Z827" s="107"/>
      <c r="AA827" s="335"/>
      <c r="AB827" s="335"/>
      <c r="AC827" s="327"/>
      <c r="AD827" s="327"/>
      <c r="AE827" s="327"/>
      <c r="AF827" s="327"/>
      <c r="AG827" s="327"/>
      <c r="AH827" s="327"/>
      <c r="AI827" s="327"/>
      <c r="AJ827" s="327"/>
      <c r="AK827" s="336"/>
      <c r="AL827" s="42"/>
    </row>
    <row r="828" spans="2:38" x14ac:dyDescent="0.25">
      <c r="B828" s="327"/>
      <c r="C828" s="327"/>
      <c r="D828" s="327"/>
      <c r="E828" s="327"/>
      <c r="F828" s="327"/>
      <c r="G828" s="327"/>
      <c r="H828" s="312"/>
      <c r="I828" s="327"/>
      <c r="J828" s="327"/>
      <c r="K828" s="334"/>
      <c r="L828" s="322"/>
      <c r="M828" s="322"/>
      <c r="N828" s="327"/>
      <c r="O828" s="327"/>
      <c r="P828" s="331"/>
      <c r="Q828" s="327"/>
      <c r="R828" s="276"/>
      <c r="S828" s="322"/>
      <c r="T828" s="322"/>
      <c r="U828" s="327"/>
      <c r="V828" s="335"/>
      <c r="W828" s="327"/>
      <c r="X828" s="327"/>
      <c r="Y828" s="327"/>
      <c r="Z828" s="107"/>
      <c r="AA828" s="335"/>
      <c r="AB828" s="335"/>
      <c r="AC828" s="327"/>
      <c r="AD828" s="327"/>
      <c r="AE828" s="327"/>
      <c r="AF828" s="327"/>
      <c r="AG828" s="327"/>
      <c r="AH828" s="327"/>
      <c r="AI828" s="327"/>
      <c r="AJ828" s="327"/>
      <c r="AK828" s="336"/>
      <c r="AL828" s="42"/>
    </row>
    <row r="829" spans="2:38" x14ac:dyDescent="0.25">
      <c r="B829" s="327"/>
      <c r="C829" s="327"/>
      <c r="D829" s="327"/>
      <c r="E829" s="327"/>
      <c r="F829" s="327"/>
      <c r="G829" s="327"/>
      <c r="H829" s="312"/>
      <c r="I829" s="327"/>
      <c r="J829" s="327"/>
      <c r="K829" s="334"/>
      <c r="L829" s="322"/>
      <c r="M829" s="322"/>
      <c r="N829" s="327"/>
      <c r="O829" s="327"/>
      <c r="P829" s="331"/>
      <c r="Q829" s="327"/>
      <c r="R829" s="276"/>
      <c r="S829" s="322"/>
      <c r="T829" s="322"/>
      <c r="U829" s="327"/>
      <c r="V829" s="335"/>
      <c r="W829" s="327"/>
      <c r="X829" s="327"/>
      <c r="Y829" s="327"/>
      <c r="Z829" s="107"/>
      <c r="AA829" s="335"/>
      <c r="AB829" s="335"/>
      <c r="AC829" s="327"/>
      <c r="AD829" s="327"/>
      <c r="AE829" s="327"/>
      <c r="AF829" s="327"/>
      <c r="AG829" s="327"/>
      <c r="AH829" s="327"/>
      <c r="AI829" s="327"/>
      <c r="AJ829" s="327"/>
      <c r="AK829" s="336"/>
      <c r="AL829" s="42"/>
    </row>
    <row r="830" spans="2:38" x14ac:dyDescent="0.25">
      <c r="B830" s="327"/>
      <c r="C830" s="327"/>
      <c r="D830" s="327"/>
      <c r="E830" s="327"/>
      <c r="F830" s="327"/>
      <c r="G830" s="327"/>
      <c r="H830" s="312"/>
      <c r="I830" s="327"/>
      <c r="J830" s="327"/>
      <c r="K830" s="334"/>
      <c r="L830" s="322"/>
      <c r="M830" s="322"/>
      <c r="N830" s="327"/>
      <c r="O830" s="327"/>
      <c r="P830" s="331"/>
      <c r="Q830" s="327"/>
      <c r="R830" s="276"/>
      <c r="S830" s="322"/>
      <c r="T830" s="322"/>
      <c r="U830" s="327"/>
      <c r="V830" s="335"/>
      <c r="W830" s="327"/>
      <c r="X830" s="327"/>
      <c r="Y830" s="327"/>
      <c r="Z830" s="107"/>
      <c r="AA830" s="335"/>
      <c r="AB830" s="335"/>
      <c r="AC830" s="327"/>
      <c r="AD830" s="327"/>
      <c r="AE830" s="327"/>
      <c r="AF830" s="327"/>
      <c r="AG830" s="327"/>
      <c r="AH830" s="327"/>
      <c r="AI830" s="327"/>
      <c r="AJ830" s="327"/>
      <c r="AK830" s="336"/>
      <c r="AL830" s="42"/>
    </row>
    <row r="831" spans="2:38" x14ac:dyDescent="0.25">
      <c r="B831" s="327"/>
      <c r="C831" s="327"/>
      <c r="D831" s="327"/>
      <c r="E831" s="327"/>
      <c r="F831" s="327"/>
      <c r="G831" s="327"/>
      <c r="H831" s="312"/>
      <c r="I831" s="327"/>
      <c r="J831" s="327"/>
      <c r="K831" s="334"/>
      <c r="L831" s="322"/>
      <c r="M831" s="322"/>
      <c r="N831" s="327"/>
      <c r="O831" s="327"/>
      <c r="P831" s="331"/>
      <c r="Q831" s="327"/>
      <c r="R831" s="276"/>
      <c r="S831" s="322"/>
      <c r="T831" s="322"/>
      <c r="U831" s="327"/>
      <c r="V831" s="335"/>
      <c r="W831" s="327"/>
      <c r="X831" s="327"/>
      <c r="Y831" s="327"/>
      <c r="Z831" s="107"/>
      <c r="AA831" s="335"/>
      <c r="AB831" s="335"/>
      <c r="AC831" s="327"/>
      <c r="AD831" s="327"/>
      <c r="AE831" s="327"/>
      <c r="AF831" s="327"/>
      <c r="AG831" s="327"/>
      <c r="AH831" s="327"/>
      <c r="AI831" s="327"/>
      <c r="AJ831" s="327"/>
      <c r="AK831" s="336"/>
      <c r="AL831" s="42"/>
    </row>
    <row r="832" spans="2:38" x14ac:dyDescent="0.25">
      <c r="B832" s="327"/>
      <c r="C832" s="327"/>
      <c r="D832" s="327"/>
      <c r="E832" s="327"/>
      <c r="F832" s="327"/>
      <c r="G832" s="327"/>
      <c r="H832" s="312"/>
      <c r="I832" s="327"/>
      <c r="J832" s="327"/>
      <c r="K832" s="334"/>
      <c r="L832" s="322"/>
      <c r="M832" s="322"/>
      <c r="N832" s="327"/>
      <c r="O832" s="327"/>
      <c r="P832" s="331"/>
      <c r="Q832" s="327"/>
      <c r="R832" s="276"/>
      <c r="S832" s="322"/>
      <c r="T832" s="322"/>
      <c r="U832" s="327"/>
      <c r="V832" s="335"/>
      <c r="W832" s="327"/>
      <c r="X832" s="327"/>
      <c r="Y832" s="327"/>
      <c r="Z832" s="107"/>
      <c r="AA832" s="335"/>
      <c r="AB832" s="335"/>
      <c r="AC832" s="327"/>
      <c r="AD832" s="327"/>
      <c r="AE832" s="327"/>
      <c r="AF832" s="327"/>
      <c r="AG832" s="327"/>
      <c r="AH832" s="327"/>
      <c r="AI832" s="327"/>
      <c r="AJ832" s="327"/>
      <c r="AK832" s="336"/>
      <c r="AL832" s="42"/>
    </row>
    <row r="833" spans="2:38" x14ac:dyDescent="0.25">
      <c r="B833" s="327"/>
      <c r="C833" s="327"/>
      <c r="D833" s="327"/>
      <c r="E833" s="327"/>
      <c r="F833" s="327"/>
      <c r="G833" s="327"/>
      <c r="H833" s="312"/>
      <c r="I833" s="327"/>
      <c r="J833" s="327"/>
      <c r="K833" s="334"/>
      <c r="L833" s="322"/>
      <c r="M833" s="322"/>
      <c r="N833" s="327"/>
      <c r="O833" s="327"/>
      <c r="P833" s="331"/>
      <c r="Q833" s="327"/>
      <c r="R833" s="276"/>
      <c r="S833" s="322"/>
      <c r="T833" s="322"/>
      <c r="U833" s="327"/>
      <c r="V833" s="335"/>
      <c r="W833" s="327"/>
      <c r="X833" s="327"/>
      <c r="Y833" s="327"/>
      <c r="Z833" s="107"/>
      <c r="AA833" s="335"/>
      <c r="AB833" s="335"/>
      <c r="AC833" s="327"/>
      <c r="AD833" s="327"/>
      <c r="AE833" s="327"/>
      <c r="AF833" s="327"/>
      <c r="AG833" s="327"/>
      <c r="AH833" s="327"/>
      <c r="AI833" s="327"/>
      <c r="AJ833" s="327"/>
      <c r="AK833" s="336"/>
      <c r="AL833" s="42"/>
    </row>
    <row r="834" spans="2:38" x14ac:dyDescent="0.25">
      <c r="B834" s="327"/>
      <c r="C834" s="327"/>
      <c r="D834" s="327"/>
      <c r="E834" s="327"/>
      <c r="F834" s="327"/>
      <c r="G834" s="327"/>
      <c r="H834" s="312"/>
      <c r="I834" s="327"/>
      <c r="J834" s="327"/>
      <c r="K834" s="334"/>
      <c r="L834" s="322"/>
      <c r="M834" s="322"/>
      <c r="N834" s="327"/>
      <c r="O834" s="327"/>
      <c r="P834" s="331"/>
      <c r="Q834" s="327"/>
      <c r="R834" s="276"/>
      <c r="S834" s="322"/>
      <c r="T834" s="322"/>
      <c r="U834" s="327"/>
      <c r="V834" s="335"/>
      <c r="W834" s="327"/>
      <c r="X834" s="327"/>
      <c r="Y834" s="327"/>
      <c r="Z834" s="107"/>
      <c r="AA834" s="335"/>
      <c r="AB834" s="335"/>
      <c r="AC834" s="327"/>
      <c r="AD834" s="327"/>
      <c r="AE834" s="327"/>
      <c r="AF834" s="327"/>
      <c r="AG834" s="327"/>
      <c r="AH834" s="327"/>
      <c r="AI834" s="327"/>
      <c r="AJ834" s="327"/>
      <c r="AK834" s="336"/>
      <c r="AL834" s="42"/>
    </row>
    <row r="835" spans="2:38" x14ac:dyDescent="0.25">
      <c r="B835" s="327"/>
      <c r="C835" s="327"/>
      <c r="D835" s="327"/>
      <c r="E835" s="327"/>
      <c r="F835" s="327"/>
      <c r="G835" s="327"/>
      <c r="H835" s="312"/>
      <c r="I835" s="327"/>
      <c r="J835" s="327"/>
      <c r="K835" s="334"/>
      <c r="L835" s="322"/>
      <c r="M835" s="322"/>
      <c r="N835" s="327"/>
      <c r="O835" s="327"/>
      <c r="P835" s="331"/>
      <c r="Q835" s="327"/>
      <c r="R835" s="276"/>
      <c r="S835" s="322"/>
      <c r="T835" s="322"/>
      <c r="U835" s="327"/>
      <c r="V835" s="335"/>
      <c r="W835" s="327"/>
      <c r="X835" s="327"/>
      <c r="Y835" s="327"/>
      <c r="Z835" s="107"/>
      <c r="AA835" s="335"/>
      <c r="AB835" s="335"/>
      <c r="AC835" s="327"/>
      <c r="AD835" s="327"/>
      <c r="AE835" s="327"/>
      <c r="AF835" s="327"/>
      <c r="AG835" s="327"/>
      <c r="AH835" s="327"/>
      <c r="AI835" s="327"/>
      <c r="AJ835" s="327"/>
      <c r="AK835" s="336"/>
      <c r="AL835" s="42"/>
    </row>
    <row r="836" spans="2:38" x14ac:dyDescent="0.25">
      <c r="B836" s="327"/>
      <c r="C836" s="327"/>
      <c r="D836" s="327"/>
      <c r="E836" s="327"/>
      <c r="F836" s="327"/>
      <c r="G836" s="327"/>
      <c r="H836" s="312"/>
      <c r="I836" s="327"/>
      <c r="J836" s="327"/>
      <c r="K836" s="334"/>
      <c r="L836" s="322"/>
      <c r="M836" s="322"/>
      <c r="N836" s="327"/>
      <c r="O836" s="327"/>
      <c r="P836" s="331"/>
      <c r="Q836" s="327"/>
      <c r="R836" s="276"/>
      <c r="S836" s="322"/>
      <c r="T836" s="322"/>
      <c r="U836" s="327"/>
      <c r="V836" s="335"/>
      <c r="W836" s="327"/>
      <c r="X836" s="327"/>
      <c r="Y836" s="327"/>
      <c r="Z836" s="107"/>
      <c r="AA836" s="335"/>
      <c r="AB836" s="335"/>
      <c r="AC836" s="327"/>
      <c r="AD836" s="327"/>
      <c r="AE836" s="327"/>
      <c r="AF836" s="327"/>
      <c r="AG836" s="327"/>
      <c r="AH836" s="327"/>
      <c r="AI836" s="327"/>
      <c r="AJ836" s="327"/>
      <c r="AK836" s="336"/>
      <c r="AL836" s="42"/>
    </row>
    <row r="837" spans="2:38" x14ac:dyDescent="0.25">
      <c r="B837" s="327"/>
      <c r="C837" s="327"/>
      <c r="D837" s="327"/>
      <c r="E837" s="327"/>
      <c r="F837" s="327"/>
      <c r="G837" s="327"/>
      <c r="H837" s="312"/>
      <c r="I837" s="327"/>
      <c r="J837" s="327"/>
      <c r="K837" s="334"/>
      <c r="L837" s="322"/>
      <c r="M837" s="322"/>
      <c r="N837" s="327"/>
      <c r="O837" s="327"/>
      <c r="P837" s="331"/>
      <c r="Q837" s="327"/>
      <c r="R837" s="276"/>
      <c r="S837" s="322"/>
      <c r="T837" s="322"/>
      <c r="U837" s="327"/>
      <c r="V837" s="335"/>
      <c r="W837" s="327"/>
      <c r="X837" s="327"/>
      <c r="Y837" s="327"/>
      <c r="Z837" s="107"/>
      <c r="AA837" s="335"/>
      <c r="AB837" s="335"/>
      <c r="AC837" s="327"/>
      <c r="AD837" s="327"/>
      <c r="AE837" s="327"/>
      <c r="AF837" s="327"/>
      <c r="AG837" s="327"/>
      <c r="AH837" s="327"/>
      <c r="AI837" s="327"/>
      <c r="AJ837" s="327"/>
      <c r="AK837" s="336"/>
      <c r="AL837" s="42"/>
    </row>
    <row r="838" spans="2:38" x14ac:dyDescent="0.25">
      <c r="B838" s="327"/>
      <c r="C838" s="327"/>
      <c r="D838" s="327"/>
      <c r="E838" s="327"/>
      <c r="F838" s="327"/>
      <c r="G838" s="327"/>
      <c r="H838" s="312"/>
      <c r="I838" s="327"/>
      <c r="J838" s="327"/>
      <c r="K838" s="334"/>
      <c r="L838" s="322"/>
      <c r="M838" s="322"/>
      <c r="N838" s="327"/>
      <c r="O838" s="327"/>
      <c r="P838" s="331"/>
      <c r="Q838" s="327"/>
      <c r="R838" s="276"/>
      <c r="S838" s="322"/>
      <c r="T838" s="322"/>
      <c r="U838" s="327"/>
      <c r="V838" s="335"/>
      <c r="W838" s="327"/>
      <c r="X838" s="327"/>
      <c r="Y838" s="327"/>
      <c r="Z838" s="107"/>
      <c r="AA838" s="335"/>
      <c r="AB838" s="335"/>
      <c r="AC838" s="327"/>
      <c r="AD838" s="327"/>
      <c r="AE838" s="327"/>
      <c r="AF838" s="327"/>
      <c r="AG838" s="327"/>
      <c r="AH838" s="327"/>
      <c r="AI838" s="327"/>
      <c r="AJ838" s="327"/>
      <c r="AK838" s="336"/>
      <c r="AL838" s="42"/>
    </row>
    <row r="839" spans="2:38" x14ac:dyDescent="0.25">
      <c r="B839" s="327"/>
      <c r="C839" s="327"/>
      <c r="D839" s="327"/>
      <c r="E839" s="327"/>
      <c r="F839" s="327"/>
      <c r="G839" s="327"/>
      <c r="H839" s="312"/>
      <c r="I839" s="327"/>
      <c r="J839" s="327"/>
      <c r="K839" s="334"/>
      <c r="L839" s="322"/>
      <c r="M839" s="322"/>
      <c r="N839" s="327"/>
      <c r="O839" s="327"/>
      <c r="P839" s="331"/>
      <c r="Q839" s="327"/>
      <c r="R839" s="276"/>
      <c r="S839" s="322"/>
      <c r="T839" s="322"/>
      <c r="U839" s="327"/>
      <c r="V839" s="335"/>
      <c r="W839" s="327"/>
      <c r="X839" s="327"/>
      <c r="Y839" s="327"/>
      <c r="Z839" s="107"/>
      <c r="AA839" s="335"/>
      <c r="AB839" s="335"/>
      <c r="AC839" s="327"/>
      <c r="AD839" s="327"/>
      <c r="AE839" s="327"/>
      <c r="AF839" s="327"/>
      <c r="AG839" s="327"/>
      <c r="AH839" s="327"/>
      <c r="AI839" s="327"/>
      <c r="AJ839" s="327"/>
      <c r="AK839" s="336"/>
      <c r="AL839" s="42"/>
    </row>
    <row r="840" spans="2:38" x14ac:dyDescent="0.25">
      <c r="B840" s="327"/>
      <c r="C840" s="327"/>
      <c r="D840" s="327"/>
      <c r="E840" s="327"/>
      <c r="F840" s="327"/>
      <c r="G840" s="327"/>
      <c r="H840" s="312"/>
      <c r="I840" s="327"/>
      <c r="J840" s="327"/>
      <c r="K840" s="334"/>
      <c r="L840" s="322"/>
      <c r="M840" s="322"/>
      <c r="N840" s="327"/>
      <c r="O840" s="327"/>
      <c r="P840" s="331"/>
      <c r="Q840" s="327"/>
      <c r="R840" s="276"/>
      <c r="S840" s="322"/>
      <c r="T840" s="322"/>
      <c r="U840" s="327"/>
      <c r="V840" s="335"/>
      <c r="W840" s="327"/>
      <c r="X840" s="327"/>
      <c r="Y840" s="327"/>
      <c r="Z840" s="107"/>
      <c r="AA840" s="335"/>
      <c r="AB840" s="335"/>
      <c r="AC840" s="327"/>
      <c r="AD840" s="327"/>
      <c r="AE840" s="327"/>
      <c r="AF840" s="327"/>
      <c r="AG840" s="327"/>
      <c r="AH840" s="327"/>
      <c r="AI840" s="327"/>
      <c r="AJ840" s="327"/>
      <c r="AK840" s="336"/>
      <c r="AL840" s="42"/>
    </row>
    <row r="841" spans="2:38" x14ac:dyDescent="0.25">
      <c r="B841" s="327"/>
      <c r="C841" s="327"/>
      <c r="D841" s="327"/>
      <c r="E841" s="327"/>
      <c r="F841" s="327"/>
      <c r="G841" s="327"/>
      <c r="H841" s="312"/>
      <c r="I841" s="327"/>
      <c r="J841" s="327"/>
      <c r="K841" s="334"/>
      <c r="L841" s="322"/>
      <c r="M841" s="322"/>
      <c r="N841" s="327"/>
      <c r="O841" s="327"/>
      <c r="P841" s="331"/>
      <c r="Q841" s="327"/>
      <c r="R841" s="276"/>
      <c r="S841" s="322"/>
      <c r="T841" s="322"/>
      <c r="U841" s="327"/>
      <c r="V841" s="335"/>
      <c r="W841" s="327"/>
      <c r="X841" s="327"/>
      <c r="Y841" s="327"/>
      <c r="Z841" s="107"/>
      <c r="AA841" s="335"/>
      <c r="AB841" s="335"/>
      <c r="AC841" s="327"/>
      <c r="AD841" s="327"/>
      <c r="AE841" s="327"/>
      <c r="AF841" s="327"/>
      <c r="AG841" s="327"/>
      <c r="AH841" s="327"/>
      <c r="AI841" s="327"/>
      <c r="AJ841" s="327"/>
      <c r="AK841" s="336"/>
      <c r="AL841" s="42"/>
    </row>
    <row r="842" spans="2:38" x14ac:dyDescent="0.25">
      <c r="B842" s="327"/>
      <c r="C842" s="327"/>
      <c r="D842" s="327"/>
      <c r="E842" s="327"/>
      <c r="F842" s="327"/>
      <c r="G842" s="327"/>
      <c r="H842" s="312"/>
      <c r="I842" s="327"/>
      <c r="J842" s="327"/>
      <c r="K842" s="334"/>
      <c r="L842" s="322"/>
      <c r="M842" s="322"/>
      <c r="N842" s="327"/>
      <c r="O842" s="327"/>
      <c r="P842" s="331"/>
      <c r="Q842" s="327"/>
      <c r="R842" s="276"/>
      <c r="S842" s="322"/>
      <c r="T842" s="322"/>
      <c r="U842" s="327"/>
      <c r="V842" s="335"/>
      <c r="W842" s="327"/>
      <c r="X842" s="327"/>
      <c r="Y842" s="327"/>
      <c r="Z842" s="107"/>
      <c r="AA842" s="335"/>
      <c r="AB842" s="335"/>
      <c r="AC842" s="327"/>
      <c r="AD842" s="327"/>
      <c r="AE842" s="327"/>
      <c r="AF842" s="327"/>
      <c r="AG842" s="327"/>
      <c r="AH842" s="327"/>
      <c r="AI842" s="327"/>
      <c r="AJ842" s="327"/>
      <c r="AK842" s="336"/>
      <c r="AL842" s="42"/>
    </row>
    <row r="843" spans="2:38" x14ac:dyDescent="0.25">
      <c r="B843" s="327"/>
      <c r="C843" s="327"/>
      <c r="D843" s="327"/>
      <c r="E843" s="327"/>
      <c r="F843" s="327"/>
      <c r="G843" s="327"/>
      <c r="H843" s="312"/>
      <c r="I843" s="327"/>
      <c r="J843" s="327"/>
      <c r="K843" s="334"/>
      <c r="L843" s="322"/>
      <c r="M843" s="322"/>
      <c r="N843" s="327"/>
      <c r="O843" s="327"/>
      <c r="P843" s="331"/>
      <c r="Q843" s="327"/>
      <c r="R843" s="276"/>
      <c r="S843" s="322"/>
      <c r="T843" s="322"/>
      <c r="U843" s="327"/>
      <c r="V843" s="335"/>
      <c r="W843" s="327"/>
      <c r="X843" s="327"/>
      <c r="Y843" s="327"/>
      <c r="Z843" s="107"/>
      <c r="AA843" s="335"/>
      <c r="AB843" s="335"/>
      <c r="AC843" s="327"/>
      <c r="AD843" s="327"/>
      <c r="AE843" s="327"/>
      <c r="AF843" s="327"/>
      <c r="AG843" s="327"/>
      <c r="AH843" s="327"/>
      <c r="AI843" s="327"/>
      <c r="AJ843" s="327"/>
      <c r="AK843" s="336"/>
      <c r="AL843" s="42"/>
    </row>
    <row r="844" spans="2:38" x14ac:dyDescent="0.25">
      <c r="B844" s="327"/>
      <c r="C844" s="327"/>
      <c r="D844" s="327"/>
      <c r="E844" s="327"/>
      <c r="F844" s="327"/>
      <c r="G844" s="327"/>
      <c r="H844" s="312"/>
      <c r="I844" s="327"/>
      <c r="J844" s="327"/>
      <c r="K844" s="334"/>
      <c r="L844" s="322"/>
      <c r="M844" s="322"/>
      <c r="N844" s="327"/>
      <c r="O844" s="327"/>
      <c r="P844" s="331"/>
      <c r="Q844" s="327"/>
      <c r="R844" s="276"/>
      <c r="S844" s="322"/>
      <c r="T844" s="322"/>
      <c r="U844" s="327"/>
      <c r="V844" s="335"/>
      <c r="W844" s="327"/>
      <c r="X844" s="327"/>
      <c r="Y844" s="327"/>
      <c r="Z844" s="107"/>
      <c r="AA844" s="335"/>
      <c r="AB844" s="335"/>
      <c r="AC844" s="327"/>
      <c r="AD844" s="327"/>
      <c r="AE844" s="327"/>
      <c r="AF844" s="327"/>
      <c r="AG844" s="327"/>
      <c r="AH844" s="327"/>
      <c r="AI844" s="327"/>
      <c r="AJ844" s="327"/>
      <c r="AK844" s="336"/>
      <c r="AL844" s="42"/>
    </row>
    <row r="845" spans="2:38" x14ac:dyDescent="0.25">
      <c r="B845" s="327"/>
      <c r="C845" s="327"/>
      <c r="D845" s="327"/>
      <c r="E845" s="327"/>
      <c r="F845" s="327"/>
      <c r="G845" s="327"/>
      <c r="H845" s="312"/>
      <c r="I845" s="327"/>
      <c r="J845" s="327"/>
      <c r="K845" s="334"/>
      <c r="L845" s="322"/>
      <c r="M845" s="322"/>
      <c r="N845" s="327"/>
      <c r="O845" s="327"/>
      <c r="P845" s="331"/>
      <c r="Q845" s="327"/>
      <c r="R845" s="276"/>
      <c r="S845" s="322"/>
      <c r="T845" s="322"/>
      <c r="U845" s="327"/>
      <c r="V845" s="335"/>
      <c r="W845" s="327"/>
      <c r="X845" s="327"/>
      <c r="Y845" s="327"/>
      <c r="Z845" s="107"/>
      <c r="AA845" s="335"/>
      <c r="AB845" s="335"/>
      <c r="AC845" s="327"/>
      <c r="AD845" s="327"/>
      <c r="AE845" s="327"/>
      <c r="AF845" s="327"/>
      <c r="AG845" s="327"/>
      <c r="AH845" s="327"/>
      <c r="AI845" s="327"/>
      <c r="AJ845" s="327"/>
      <c r="AK845" s="336"/>
      <c r="AL845" s="42"/>
    </row>
    <row r="846" spans="2:38" x14ac:dyDescent="0.25">
      <c r="B846" s="327"/>
      <c r="C846" s="327"/>
      <c r="D846" s="327"/>
      <c r="E846" s="327"/>
      <c r="F846" s="327"/>
      <c r="G846" s="327"/>
      <c r="H846" s="312"/>
      <c r="I846" s="327"/>
      <c r="J846" s="327"/>
      <c r="K846" s="334"/>
      <c r="L846" s="322"/>
      <c r="M846" s="322"/>
      <c r="N846" s="327"/>
      <c r="O846" s="327"/>
      <c r="P846" s="331"/>
      <c r="Q846" s="327"/>
      <c r="R846" s="276"/>
      <c r="S846" s="322"/>
      <c r="T846" s="322"/>
      <c r="U846" s="327"/>
      <c r="V846" s="335"/>
      <c r="W846" s="327"/>
      <c r="X846" s="327"/>
      <c r="Y846" s="327"/>
      <c r="Z846" s="107"/>
      <c r="AA846" s="335"/>
      <c r="AB846" s="335"/>
      <c r="AC846" s="327"/>
      <c r="AD846" s="327"/>
      <c r="AE846" s="327"/>
      <c r="AF846" s="327"/>
      <c r="AG846" s="327"/>
      <c r="AH846" s="327"/>
      <c r="AI846" s="327"/>
      <c r="AJ846" s="327"/>
      <c r="AK846" s="336"/>
      <c r="AL846" s="42"/>
    </row>
    <row r="847" spans="2:38" x14ac:dyDescent="0.25">
      <c r="B847" s="327"/>
      <c r="C847" s="327"/>
      <c r="D847" s="327"/>
      <c r="E847" s="327"/>
      <c r="F847" s="327"/>
      <c r="G847" s="327"/>
      <c r="H847" s="312"/>
      <c r="I847" s="327"/>
      <c r="J847" s="327"/>
      <c r="K847" s="334"/>
      <c r="L847" s="322"/>
      <c r="M847" s="322"/>
      <c r="N847" s="327"/>
      <c r="O847" s="327"/>
      <c r="P847" s="331"/>
      <c r="Q847" s="327"/>
      <c r="R847" s="276"/>
      <c r="S847" s="322"/>
      <c r="T847" s="322"/>
      <c r="U847" s="327"/>
      <c r="V847" s="335"/>
      <c r="W847" s="327"/>
      <c r="X847" s="327"/>
      <c r="Y847" s="327"/>
      <c r="Z847" s="107"/>
      <c r="AA847" s="335"/>
      <c r="AB847" s="335"/>
      <c r="AC847" s="327"/>
      <c r="AD847" s="327"/>
      <c r="AE847" s="327"/>
      <c r="AF847" s="327"/>
      <c r="AG847" s="327"/>
      <c r="AH847" s="327"/>
      <c r="AI847" s="327"/>
      <c r="AJ847" s="327"/>
      <c r="AK847" s="336"/>
      <c r="AL847" s="42"/>
    </row>
    <row r="848" spans="2:38" x14ac:dyDescent="0.25">
      <c r="B848" s="327"/>
      <c r="C848" s="327"/>
      <c r="D848" s="327"/>
      <c r="E848" s="327"/>
      <c r="F848" s="327"/>
      <c r="G848" s="327"/>
      <c r="H848" s="312"/>
      <c r="I848" s="327"/>
      <c r="J848" s="327"/>
      <c r="K848" s="334"/>
      <c r="L848" s="322"/>
      <c r="M848" s="322"/>
      <c r="N848" s="327"/>
      <c r="O848" s="327"/>
      <c r="P848" s="331"/>
      <c r="Q848" s="327"/>
      <c r="R848" s="276"/>
      <c r="S848" s="322"/>
      <c r="T848" s="322"/>
      <c r="U848" s="327"/>
      <c r="V848" s="335"/>
      <c r="W848" s="327"/>
      <c r="X848" s="327"/>
      <c r="Y848" s="327"/>
      <c r="Z848" s="107"/>
      <c r="AA848" s="335"/>
      <c r="AB848" s="335"/>
      <c r="AC848" s="327"/>
      <c r="AD848" s="327"/>
      <c r="AE848" s="327"/>
      <c r="AF848" s="327"/>
      <c r="AG848" s="327"/>
      <c r="AH848" s="327"/>
      <c r="AI848" s="327"/>
      <c r="AJ848" s="327"/>
      <c r="AK848" s="336"/>
      <c r="AL848" s="42"/>
    </row>
    <row r="849" spans="2:38" x14ac:dyDescent="0.25">
      <c r="B849" s="327"/>
      <c r="C849" s="327"/>
      <c r="D849" s="327"/>
      <c r="E849" s="327"/>
      <c r="F849" s="327"/>
      <c r="G849" s="327"/>
      <c r="H849" s="312"/>
      <c r="I849" s="327"/>
      <c r="J849" s="327"/>
      <c r="K849" s="334"/>
      <c r="L849" s="322"/>
      <c r="M849" s="322"/>
      <c r="N849" s="327"/>
      <c r="O849" s="327"/>
      <c r="P849" s="331"/>
      <c r="Q849" s="327"/>
      <c r="R849" s="276"/>
      <c r="S849" s="322"/>
      <c r="T849" s="322"/>
      <c r="U849" s="327"/>
      <c r="V849" s="335"/>
      <c r="W849" s="327"/>
      <c r="X849" s="327"/>
      <c r="Y849" s="327"/>
      <c r="Z849" s="107"/>
      <c r="AA849" s="335"/>
      <c r="AB849" s="335"/>
      <c r="AC849" s="327"/>
      <c r="AD849" s="327"/>
      <c r="AE849" s="327"/>
      <c r="AF849" s="327"/>
      <c r="AG849" s="327"/>
      <c r="AH849" s="327"/>
      <c r="AI849" s="327"/>
      <c r="AJ849" s="327"/>
      <c r="AK849" s="336"/>
      <c r="AL849" s="42"/>
    </row>
    <row r="850" spans="2:38" x14ac:dyDescent="0.25">
      <c r="B850" s="327"/>
      <c r="C850" s="327"/>
      <c r="D850" s="327"/>
      <c r="E850" s="327"/>
      <c r="F850" s="327"/>
      <c r="G850" s="327"/>
      <c r="H850" s="312"/>
      <c r="I850" s="327"/>
      <c r="J850" s="327"/>
      <c r="K850" s="334"/>
      <c r="L850" s="322"/>
      <c r="M850" s="322"/>
      <c r="N850" s="327"/>
      <c r="O850" s="327"/>
      <c r="P850" s="331"/>
      <c r="Q850" s="327"/>
      <c r="R850" s="276"/>
      <c r="S850" s="322"/>
      <c r="T850" s="322"/>
      <c r="U850" s="327"/>
      <c r="V850" s="335"/>
      <c r="W850" s="327"/>
      <c r="X850" s="327"/>
      <c r="Y850" s="327"/>
      <c r="Z850" s="107"/>
      <c r="AA850" s="335"/>
      <c r="AB850" s="335"/>
      <c r="AC850" s="327"/>
      <c r="AD850" s="327"/>
      <c r="AE850" s="327"/>
      <c r="AF850" s="327"/>
      <c r="AG850" s="327"/>
      <c r="AH850" s="327"/>
      <c r="AI850" s="327"/>
      <c r="AJ850" s="327"/>
      <c r="AK850" s="336"/>
      <c r="AL850" s="42"/>
    </row>
    <row r="851" spans="2:38" x14ac:dyDescent="0.25">
      <c r="B851" s="327"/>
      <c r="C851" s="327"/>
      <c r="D851" s="327"/>
      <c r="E851" s="327"/>
      <c r="F851" s="327"/>
      <c r="G851" s="327"/>
      <c r="H851" s="312"/>
      <c r="I851" s="327"/>
      <c r="J851" s="327"/>
      <c r="K851" s="334"/>
      <c r="L851" s="322"/>
      <c r="M851" s="322"/>
      <c r="N851" s="327"/>
      <c r="O851" s="327"/>
      <c r="P851" s="331"/>
      <c r="Q851" s="327"/>
      <c r="R851" s="276"/>
      <c r="S851" s="322"/>
      <c r="T851" s="322"/>
      <c r="U851" s="327"/>
      <c r="V851" s="335"/>
      <c r="W851" s="327"/>
      <c r="X851" s="327"/>
      <c r="Y851" s="327"/>
      <c r="Z851" s="107"/>
      <c r="AA851" s="335"/>
      <c r="AB851" s="335"/>
      <c r="AC851" s="327"/>
      <c r="AD851" s="327"/>
      <c r="AE851" s="327"/>
      <c r="AF851" s="327"/>
      <c r="AG851" s="327"/>
      <c r="AH851" s="327"/>
      <c r="AI851" s="327"/>
      <c r="AJ851" s="327"/>
      <c r="AK851" s="336"/>
      <c r="AL851" s="42"/>
    </row>
    <row r="852" spans="2:38" x14ac:dyDescent="0.25">
      <c r="B852" s="327"/>
      <c r="C852" s="327"/>
      <c r="D852" s="327"/>
      <c r="E852" s="327"/>
      <c r="F852" s="327"/>
      <c r="G852" s="327"/>
      <c r="H852" s="312"/>
      <c r="I852" s="327"/>
      <c r="J852" s="327"/>
      <c r="K852" s="334"/>
      <c r="L852" s="322"/>
      <c r="M852" s="322"/>
      <c r="N852" s="327"/>
      <c r="O852" s="327"/>
      <c r="P852" s="331"/>
      <c r="Q852" s="327"/>
      <c r="R852" s="276"/>
      <c r="S852" s="322"/>
      <c r="T852" s="322"/>
      <c r="U852" s="327"/>
      <c r="V852" s="335"/>
      <c r="W852" s="327"/>
      <c r="X852" s="327"/>
      <c r="Y852" s="327"/>
      <c r="Z852" s="107"/>
      <c r="AA852" s="335"/>
      <c r="AB852" s="335"/>
      <c r="AC852" s="327"/>
      <c r="AD852" s="327"/>
      <c r="AE852" s="327"/>
      <c r="AF852" s="327"/>
      <c r="AG852" s="327"/>
      <c r="AH852" s="327"/>
      <c r="AI852" s="327"/>
      <c r="AJ852" s="327"/>
      <c r="AK852" s="336"/>
      <c r="AL852" s="42"/>
    </row>
    <row r="853" spans="2:38" x14ac:dyDescent="0.25">
      <c r="B853" s="327"/>
      <c r="C853" s="327"/>
      <c r="D853" s="327"/>
      <c r="E853" s="327"/>
      <c r="F853" s="327"/>
      <c r="G853" s="327"/>
      <c r="H853" s="312"/>
      <c r="I853" s="327"/>
      <c r="J853" s="327"/>
      <c r="K853" s="334"/>
      <c r="L853" s="322"/>
      <c r="M853" s="322"/>
      <c r="N853" s="327"/>
      <c r="O853" s="327"/>
      <c r="P853" s="331"/>
      <c r="Q853" s="327"/>
      <c r="R853" s="276"/>
      <c r="S853" s="322"/>
      <c r="T853" s="322"/>
      <c r="U853" s="327"/>
      <c r="V853" s="335"/>
      <c r="W853" s="327"/>
      <c r="X853" s="327"/>
      <c r="Y853" s="327"/>
      <c r="Z853" s="107"/>
      <c r="AA853" s="335"/>
      <c r="AB853" s="335"/>
      <c r="AC853" s="327"/>
      <c r="AD853" s="327"/>
      <c r="AE853" s="327"/>
      <c r="AF853" s="327"/>
      <c r="AG853" s="327"/>
      <c r="AH853" s="327"/>
      <c r="AI853" s="327"/>
      <c r="AJ853" s="327"/>
      <c r="AK853" s="336"/>
      <c r="AL853" s="42"/>
    </row>
    <row r="854" spans="2:38" x14ac:dyDescent="0.25">
      <c r="B854" s="327"/>
      <c r="C854" s="327"/>
      <c r="D854" s="327"/>
      <c r="E854" s="327"/>
      <c r="F854" s="327"/>
      <c r="G854" s="327"/>
      <c r="H854" s="312"/>
      <c r="I854" s="327"/>
      <c r="J854" s="327"/>
      <c r="K854" s="334"/>
      <c r="L854" s="322"/>
      <c r="M854" s="322"/>
      <c r="N854" s="327"/>
      <c r="O854" s="327"/>
      <c r="P854" s="331"/>
      <c r="Q854" s="327"/>
      <c r="R854" s="276"/>
      <c r="S854" s="322"/>
      <c r="T854" s="322"/>
      <c r="U854" s="327"/>
      <c r="V854" s="335"/>
      <c r="W854" s="327"/>
      <c r="X854" s="327"/>
      <c r="Y854" s="327"/>
      <c r="Z854" s="107"/>
      <c r="AA854" s="335"/>
      <c r="AB854" s="335"/>
      <c r="AC854" s="327"/>
      <c r="AD854" s="327"/>
      <c r="AE854" s="327"/>
      <c r="AF854" s="327"/>
      <c r="AG854" s="327"/>
      <c r="AH854" s="327"/>
      <c r="AI854" s="327"/>
      <c r="AJ854" s="327"/>
      <c r="AK854" s="336"/>
      <c r="AL854" s="42"/>
    </row>
    <row r="855" spans="2:38" x14ac:dyDescent="0.25">
      <c r="B855" s="327"/>
      <c r="C855" s="327"/>
      <c r="D855" s="327"/>
      <c r="E855" s="327"/>
      <c r="F855" s="327"/>
      <c r="G855" s="327"/>
      <c r="H855" s="312"/>
      <c r="I855" s="327"/>
      <c r="J855" s="327"/>
      <c r="K855" s="334"/>
      <c r="L855" s="322"/>
      <c r="M855" s="322"/>
      <c r="N855" s="327"/>
      <c r="O855" s="327"/>
      <c r="P855" s="331"/>
      <c r="Q855" s="327"/>
      <c r="R855" s="276"/>
      <c r="S855" s="322"/>
      <c r="T855" s="322"/>
      <c r="U855" s="327"/>
      <c r="V855" s="335"/>
      <c r="W855" s="327"/>
      <c r="X855" s="327"/>
      <c r="Y855" s="327"/>
      <c r="Z855" s="107"/>
      <c r="AA855" s="335"/>
      <c r="AB855" s="335"/>
      <c r="AC855" s="327"/>
      <c r="AD855" s="327"/>
      <c r="AE855" s="327"/>
      <c r="AF855" s="327"/>
      <c r="AG855" s="327"/>
      <c r="AH855" s="327"/>
      <c r="AI855" s="327"/>
      <c r="AJ855" s="327"/>
      <c r="AK855" s="336"/>
      <c r="AL855" s="42"/>
    </row>
    <row r="856" spans="2:38" x14ac:dyDescent="0.25">
      <c r="B856" s="327"/>
      <c r="C856" s="327"/>
      <c r="D856" s="327"/>
      <c r="E856" s="327"/>
      <c r="F856" s="327"/>
      <c r="G856" s="327"/>
      <c r="H856" s="312"/>
      <c r="I856" s="327"/>
      <c r="J856" s="327"/>
      <c r="K856" s="334"/>
      <c r="L856" s="322"/>
      <c r="M856" s="322"/>
      <c r="N856" s="327"/>
      <c r="O856" s="327"/>
      <c r="P856" s="331"/>
      <c r="Q856" s="327"/>
      <c r="R856" s="276"/>
      <c r="S856" s="322"/>
      <c r="T856" s="322"/>
      <c r="U856" s="327"/>
      <c r="V856" s="335"/>
      <c r="W856" s="327"/>
      <c r="X856" s="327"/>
      <c r="Y856" s="327"/>
      <c r="Z856" s="107"/>
      <c r="AA856" s="335"/>
      <c r="AB856" s="335"/>
      <c r="AC856" s="327"/>
      <c r="AD856" s="327"/>
      <c r="AE856" s="327"/>
      <c r="AF856" s="327"/>
      <c r="AG856" s="327"/>
      <c r="AH856" s="327"/>
      <c r="AI856" s="327"/>
      <c r="AJ856" s="327"/>
      <c r="AK856" s="336"/>
      <c r="AL856" s="42"/>
    </row>
    <row r="857" spans="2:38" x14ac:dyDescent="0.25">
      <c r="B857" s="327"/>
      <c r="C857" s="327"/>
      <c r="D857" s="327"/>
      <c r="E857" s="327"/>
      <c r="F857" s="327"/>
      <c r="G857" s="327"/>
      <c r="H857" s="312"/>
      <c r="I857" s="327"/>
      <c r="J857" s="327"/>
      <c r="K857" s="334"/>
      <c r="L857" s="322"/>
      <c r="M857" s="322"/>
      <c r="N857" s="327"/>
      <c r="O857" s="327"/>
      <c r="P857" s="331"/>
      <c r="Q857" s="327"/>
      <c r="R857" s="276"/>
      <c r="S857" s="322"/>
      <c r="T857" s="322"/>
      <c r="U857" s="327"/>
      <c r="V857" s="335"/>
      <c r="W857" s="327"/>
      <c r="X857" s="327"/>
      <c r="Y857" s="327"/>
      <c r="Z857" s="107"/>
      <c r="AA857" s="335"/>
      <c r="AB857" s="335"/>
      <c r="AC857" s="327"/>
      <c r="AD857" s="327"/>
      <c r="AE857" s="327"/>
      <c r="AF857" s="327"/>
      <c r="AG857" s="327"/>
      <c r="AH857" s="327"/>
      <c r="AI857" s="327"/>
      <c r="AJ857" s="327"/>
      <c r="AK857" s="336"/>
      <c r="AL857" s="42"/>
    </row>
    <row r="858" spans="2:38" x14ac:dyDescent="0.25">
      <c r="B858" s="327"/>
      <c r="C858" s="327"/>
      <c r="D858" s="327"/>
      <c r="E858" s="327"/>
      <c r="F858" s="327"/>
      <c r="G858" s="327"/>
      <c r="H858" s="312"/>
      <c r="I858" s="327"/>
      <c r="J858" s="327"/>
      <c r="K858" s="334"/>
      <c r="L858" s="322"/>
      <c r="M858" s="322"/>
      <c r="N858" s="327"/>
      <c r="O858" s="327"/>
      <c r="P858" s="331"/>
      <c r="Q858" s="327"/>
      <c r="R858" s="276"/>
      <c r="S858" s="322"/>
      <c r="T858" s="322"/>
      <c r="U858" s="327"/>
      <c r="V858" s="335"/>
      <c r="W858" s="327"/>
      <c r="X858" s="327"/>
      <c r="Y858" s="327"/>
      <c r="Z858" s="107"/>
      <c r="AA858" s="335"/>
      <c r="AB858" s="335"/>
      <c r="AC858" s="327"/>
      <c r="AD858" s="327"/>
      <c r="AE858" s="327"/>
      <c r="AF858" s="327"/>
      <c r="AG858" s="327"/>
      <c r="AH858" s="327"/>
      <c r="AI858" s="327"/>
      <c r="AJ858" s="327"/>
      <c r="AK858" s="336"/>
      <c r="AL858" s="42"/>
    </row>
    <row r="859" spans="2:38" x14ac:dyDescent="0.25">
      <c r="B859" s="327"/>
      <c r="C859" s="327"/>
      <c r="D859" s="327"/>
      <c r="E859" s="327"/>
      <c r="F859" s="327"/>
      <c r="G859" s="327"/>
      <c r="H859" s="312"/>
      <c r="I859" s="327"/>
      <c r="J859" s="327"/>
      <c r="K859" s="334"/>
      <c r="L859" s="322"/>
      <c r="M859" s="322"/>
      <c r="N859" s="327"/>
      <c r="O859" s="327"/>
      <c r="P859" s="331"/>
      <c r="Q859" s="327"/>
      <c r="R859" s="276"/>
      <c r="S859" s="322"/>
      <c r="T859" s="322"/>
      <c r="U859" s="327"/>
      <c r="V859" s="335"/>
      <c r="W859" s="327"/>
      <c r="X859" s="327"/>
      <c r="Y859" s="327"/>
      <c r="Z859" s="107"/>
      <c r="AA859" s="335"/>
      <c r="AB859" s="335"/>
      <c r="AC859" s="327"/>
      <c r="AD859" s="327"/>
      <c r="AE859" s="327"/>
      <c r="AF859" s="327"/>
      <c r="AG859" s="327"/>
      <c r="AH859" s="327"/>
      <c r="AI859" s="327"/>
      <c r="AJ859" s="327"/>
      <c r="AK859" s="336"/>
      <c r="AL859" s="42"/>
    </row>
    <row r="860" spans="2:38" x14ac:dyDescent="0.25">
      <c r="B860" s="327"/>
      <c r="C860" s="327"/>
      <c r="D860" s="327"/>
      <c r="E860" s="327"/>
      <c r="F860" s="327"/>
      <c r="G860" s="327"/>
      <c r="H860" s="312"/>
      <c r="I860" s="327"/>
      <c r="J860" s="327"/>
      <c r="K860" s="334"/>
      <c r="L860" s="322"/>
      <c r="M860" s="322"/>
      <c r="N860" s="327"/>
      <c r="O860" s="327"/>
      <c r="P860" s="331"/>
      <c r="Q860" s="327"/>
      <c r="R860" s="276"/>
      <c r="S860" s="322"/>
      <c r="T860" s="322"/>
      <c r="U860" s="327"/>
      <c r="V860" s="335"/>
      <c r="W860" s="327"/>
      <c r="X860" s="327"/>
      <c r="Y860" s="327"/>
      <c r="Z860" s="107"/>
      <c r="AA860" s="335"/>
      <c r="AB860" s="335"/>
      <c r="AC860" s="327"/>
      <c r="AD860" s="327"/>
      <c r="AE860" s="327"/>
      <c r="AF860" s="327"/>
      <c r="AG860" s="327"/>
      <c r="AH860" s="327"/>
      <c r="AI860" s="327"/>
      <c r="AJ860" s="327"/>
      <c r="AK860" s="336"/>
      <c r="AL860" s="42"/>
    </row>
    <row r="861" spans="2:38" x14ac:dyDescent="0.25">
      <c r="B861" s="327"/>
      <c r="C861" s="327"/>
      <c r="D861" s="327"/>
      <c r="E861" s="327"/>
      <c r="F861" s="327"/>
      <c r="G861" s="327"/>
      <c r="H861" s="312"/>
      <c r="I861" s="327"/>
      <c r="J861" s="327"/>
      <c r="K861" s="334"/>
      <c r="L861" s="322"/>
      <c r="M861" s="322"/>
      <c r="N861" s="327"/>
      <c r="O861" s="327"/>
      <c r="P861" s="331"/>
      <c r="Q861" s="327"/>
      <c r="R861" s="276"/>
      <c r="S861" s="322"/>
      <c r="T861" s="322"/>
      <c r="U861" s="327"/>
      <c r="V861" s="335"/>
      <c r="W861" s="327"/>
      <c r="X861" s="327"/>
      <c r="Y861" s="327"/>
      <c r="Z861" s="107"/>
      <c r="AA861" s="335"/>
      <c r="AB861" s="335"/>
      <c r="AC861" s="327"/>
      <c r="AD861" s="327"/>
      <c r="AE861" s="327"/>
      <c r="AF861" s="327"/>
      <c r="AG861" s="327"/>
      <c r="AH861" s="327"/>
      <c r="AI861" s="327"/>
      <c r="AJ861" s="327"/>
      <c r="AK861" s="336"/>
      <c r="AL861" s="42"/>
    </row>
    <row r="862" spans="2:38" x14ac:dyDescent="0.25">
      <c r="B862" s="327"/>
      <c r="C862" s="327"/>
      <c r="D862" s="327"/>
      <c r="E862" s="327"/>
      <c r="F862" s="327"/>
      <c r="G862" s="327"/>
      <c r="H862" s="312"/>
      <c r="I862" s="327"/>
      <c r="J862" s="327"/>
      <c r="K862" s="334"/>
      <c r="L862" s="322"/>
      <c r="M862" s="322"/>
      <c r="N862" s="327"/>
      <c r="O862" s="327"/>
      <c r="P862" s="331"/>
      <c r="Q862" s="327"/>
      <c r="R862" s="276"/>
      <c r="S862" s="322"/>
      <c r="T862" s="322"/>
      <c r="U862" s="327"/>
      <c r="V862" s="335"/>
      <c r="W862" s="327"/>
      <c r="X862" s="327"/>
      <c r="Y862" s="327"/>
      <c r="Z862" s="107"/>
      <c r="AA862" s="335"/>
      <c r="AB862" s="335"/>
      <c r="AC862" s="327"/>
      <c r="AD862" s="327"/>
      <c r="AE862" s="327"/>
      <c r="AF862" s="327"/>
      <c r="AG862" s="327"/>
      <c r="AH862" s="327"/>
      <c r="AI862" s="327"/>
      <c r="AJ862" s="327"/>
      <c r="AK862" s="336"/>
      <c r="AL862" s="42"/>
    </row>
    <row r="863" spans="2:38" x14ac:dyDescent="0.25">
      <c r="B863" s="327"/>
      <c r="C863" s="327"/>
      <c r="D863" s="327"/>
      <c r="E863" s="327"/>
      <c r="F863" s="327"/>
      <c r="G863" s="327"/>
      <c r="H863" s="312"/>
      <c r="I863" s="327"/>
      <c r="J863" s="327"/>
      <c r="K863" s="334"/>
      <c r="L863" s="322"/>
      <c r="M863" s="322"/>
      <c r="N863" s="327"/>
      <c r="O863" s="327"/>
      <c r="P863" s="331"/>
      <c r="Q863" s="327"/>
      <c r="R863" s="276"/>
      <c r="S863" s="322"/>
      <c r="T863" s="322"/>
      <c r="U863" s="327"/>
      <c r="V863" s="335"/>
      <c r="W863" s="327"/>
      <c r="X863" s="327"/>
      <c r="Y863" s="327"/>
      <c r="Z863" s="107"/>
      <c r="AA863" s="335"/>
      <c r="AB863" s="335"/>
      <c r="AC863" s="327"/>
      <c r="AD863" s="327"/>
      <c r="AE863" s="327"/>
      <c r="AF863" s="327"/>
      <c r="AG863" s="327"/>
      <c r="AH863" s="327"/>
      <c r="AI863" s="327"/>
      <c r="AJ863" s="327"/>
      <c r="AK863" s="336"/>
      <c r="AL863" s="42"/>
    </row>
    <row r="864" spans="2:38" x14ac:dyDescent="0.25">
      <c r="B864" s="327"/>
      <c r="C864" s="327"/>
      <c r="D864" s="327"/>
      <c r="E864" s="327"/>
      <c r="F864" s="327"/>
      <c r="G864" s="327"/>
      <c r="H864" s="312"/>
      <c r="I864" s="327"/>
      <c r="J864" s="327"/>
      <c r="K864" s="334"/>
      <c r="L864" s="322"/>
      <c r="M864" s="322"/>
      <c r="N864" s="327"/>
      <c r="O864" s="327"/>
      <c r="P864" s="331"/>
      <c r="Q864" s="327"/>
      <c r="R864" s="276"/>
      <c r="S864" s="322"/>
      <c r="T864" s="322"/>
      <c r="U864" s="327"/>
      <c r="V864" s="335"/>
      <c r="W864" s="327"/>
      <c r="X864" s="327"/>
      <c r="Y864" s="327"/>
      <c r="Z864" s="107"/>
      <c r="AA864" s="335"/>
      <c r="AB864" s="335"/>
      <c r="AC864" s="327"/>
      <c r="AD864" s="327"/>
      <c r="AE864" s="327"/>
      <c r="AF864" s="327"/>
      <c r="AG864" s="327"/>
      <c r="AH864" s="327"/>
      <c r="AI864" s="327"/>
      <c r="AJ864" s="327"/>
      <c r="AK864" s="336"/>
      <c r="AL864" s="42"/>
    </row>
    <row r="865" spans="2:38" x14ac:dyDescent="0.25">
      <c r="B865" s="327"/>
      <c r="C865" s="327"/>
      <c r="D865" s="327"/>
      <c r="E865" s="327"/>
      <c r="F865" s="327"/>
      <c r="G865" s="327"/>
      <c r="H865" s="312"/>
      <c r="I865" s="327"/>
      <c r="J865" s="327"/>
      <c r="K865" s="334"/>
      <c r="L865" s="322"/>
      <c r="M865" s="322"/>
      <c r="N865" s="327"/>
      <c r="O865" s="327"/>
      <c r="P865" s="331"/>
      <c r="Q865" s="327"/>
      <c r="R865" s="276"/>
      <c r="S865" s="322"/>
      <c r="T865" s="322"/>
      <c r="U865" s="327"/>
      <c r="V865" s="335"/>
      <c r="W865" s="327"/>
      <c r="X865" s="327"/>
      <c r="Y865" s="327"/>
      <c r="Z865" s="107"/>
      <c r="AA865" s="335"/>
      <c r="AB865" s="335"/>
      <c r="AC865" s="327"/>
      <c r="AD865" s="327"/>
      <c r="AE865" s="327"/>
      <c r="AF865" s="327"/>
      <c r="AG865" s="327"/>
      <c r="AH865" s="327"/>
      <c r="AI865" s="327"/>
      <c r="AJ865" s="327"/>
      <c r="AK865" s="336"/>
      <c r="AL865" s="42"/>
    </row>
    <row r="866" spans="2:38" x14ac:dyDescent="0.25">
      <c r="B866" s="327"/>
      <c r="C866" s="327"/>
      <c r="D866" s="327"/>
      <c r="E866" s="327"/>
      <c r="F866" s="327"/>
      <c r="G866" s="327"/>
      <c r="H866" s="312"/>
      <c r="I866" s="327"/>
      <c r="J866" s="327"/>
      <c r="K866" s="334"/>
      <c r="L866" s="322"/>
      <c r="M866" s="322"/>
      <c r="N866" s="327"/>
      <c r="O866" s="327"/>
      <c r="P866" s="331"/>
      <c r="Q866" s="327"/>
      <c r="R866" s="276"/>
      <c r="S866" s="322"/>
      <c r="T866" s="322"/>
      <c r="U866" s="327"/>
      <c r="V866" s="335"/>
      <c r="W866" s="327"/>
      <c r="X866" s="327"/>
      <c r="Y866" s="327"/>
      <c r="Z866" s="107"/>
      <c r="AA866" s="335"/>
      <c r="AB866" s="335"/>
      <c r="AC866" s="327"/>
      <c r="AD866" s="327"/>
      <c r="AE866" s="327"/>
      <c r="AF866" s="327"/>
      <c r="AG866" s="327"/>
      <c r="AH866" s="327"/>
      <c r="AI866" s="327"/>
      <c r="AJ866" s="327"/>
      <c r="AK866" s="336"/>
      <c r="AL866" s="42"/>
    </row>
    <row r="867" spans="2:38" x14ac:dyDescent="0.25">
      <c r="B867" s="327"/>
      <c r="C867" s="327"/>
      <c r="D867" s="327"/>
      <c r="E867" s="327"/>
      <c r="F867" s="327"/>
      <c r="G867" s="327"/>
      <c r="H867" s="312"/>
      <c r="I867" s="327"/>
      <c r="J867" s="327"/>
      <c r="K867" s="334"/>
      <c r="L867" s="322"/>
      <c r="M867" s="322"/>
      <c r="N867" s="327"/>
      <c r="O867" s="327"/>
      <c r="P867" s="331"/>
      <c r="Q867" s="327"/>
      <c r="R867" s="276"/>
      <c r="S867" s="322"/>
      <c r="T867" s="322"/>
      <c r="U867" s="327"/>
      <c r="V867" s="335"/>
      <c r="W867" s="327"/>
      <c r="X867" s="327"/>
      <c r="Y867" s="327"/>
      <c r="Z867" s="107"/>
      <c r="AA867" s="335"/>
      <c r="AB867" s="335"/>
      <c r="AC867" s="327"/>
      <c r="AD867" s="327"/>
      <c r="AE867" s="327"/>
      <c r="AF867" s="327"/>
      <c r="AG867" s="327"/>
      <c r="AH867" s="327"/>
      <c r="AI867" s="327"/>
      <c r="AJ867" s="327"/>
      <c r="AK867" s="336"/>
      <c r="AL867" s="42"/>
    </row>
    <row r="868" spans="2:38" x14ac:dyDescent="0.25">
      <c r="B868" s="327"/>
      <c r="C868" s="327"/>
      <c r="D868" s="327"/>
      <c r="E868" s="327"/>
      <c r="F868" s="327"/>
      <c r="G868" s="327"/>
      <c r="H868" s="312"/>
      <c r="I868" s="327"/>
      <c r="J868" s="327"/>
      <c r="K868" s="334"/>
      <c r="L868" s="322"/>
      <c r="M868" s="322"/>
      <c r="N868" s="327"/>
      <c r="O868" s="327"/>
      <c r="P868" s="331"/>
      <c r="Q868" s="327"/>
      <c r="R868" s="276"/>
      <c r="S868" s="322"/>
      <c r="T868" s="322"/>
      <c r="U868" s="327"/>
      <c r="V868" s="335"/>
      <c r="W868" s="327"/>
      <c r="X868" s="327"/>
      <c r="Y868" s="327"/>
      <c r="Z868" s="107"/>
      <c r="AA868" s="335"/>
      <c r="AB868" s="335"/>
      <c r="AC868" s="327"/>
      <c r="AD868" s="327"/>
      <c r="AE868" s="327"/>
      <c r="AF868" s="327"/>
      <c r="AG868" s="327"/>
      <c r="AH868" s="327"/>
      <c r="AI868" s="327"/>
      <c r="AJ868" s="327"/>
      <c r="AK868" s="336"/>
      <c r="AL868" s="42"/>
    </row>
    <row r="869" spans="2:38" x14ac:dyDescent="0.25">
      <c r="B869" s="327"/>
      <c r="C869" s="327"/>
      <c r="D869" s="327"/>
      <c r="E869" s="327"/>
      <c r="F869" s="327"/>
      <c r="G869" s="327"/>
      <c r="H869" s="312"/>
      <c r="I869" s="327"/>
      <c r="J869" s="327"/>
      <c r="K869" s="334"/>
      <c r="L869" s="322"/>
      <c r="M869" s="322"/>
      <c r="N869" s="327"/>
      <c r="O869" s="327"/>
      <c r="P869" s="331"/>
      <c r="Q869" s="327"/>
      <c r="R869" s="276"/>
      <c r="S869" s="322"/>
      <c r="T869" s="322"/>
      <c r="U869" s="327"/>
      <c r="V869" s="335"/>
      <c r="W869" s="327"/>
      <c r="X869" s="327"/>
      <c r="Y869" s="327"/>
      <c r="Z869" s="107"/>
      <c r="AA869" s="335"/>
      <c r="AB869" s="335"/>
      <c r="AC869" s="327"/>
      <c r="AD869" s="327"/>
      <c r="AE869" s="327"/>
      <c r="AF869" s="327"/>
      <c r="AG869" s="327"/>
      <c r="AH869" s="327"/>
      <c r="AI869" s="327"/>
      <c r="AJ869" s="327"/>
      <c r="AK869" s="336"/>
      <c r="AL869" s="42"/>
    </row>
    <row r="870" spans="2:38" x14ac:dyDescent="0.25">
      <c r="B870" s="327"/>
      <c r="C870" s="327"/>
      <c r="D870" s="327"/>
      <c r="E870" s="327"/>
      <c r="F870" s="327"/>
      <c r="G870" s="327"/>
      <c r="H870" s="312"/>
      <c r="I870" s="327"/>
      <c r="J870" s="327"/>
      <c r="K870" s="334"/>
      <c r="L870" s="322"/>
      <c r="M870" s="322"/>
      <c r="N870" s="327"/>
      <c r="O870" s="327"/>
      <c r="P870" s="331"/>
      <c r="Q870" s="327"/>
      <c r="R870" s="276"/>
      <c r="S870" s="322"/>
      <c r="T870" s="322"/>
      <c r="U870" s="327"/>
      <c r="V870" s="335"/>
      <c r="W870" s="327"/>
      <c r="X870" s="327"/>
      <c r="Y870" s="327"/>
      <c r="Z870" s="107"/>
      <c r="AA870" s="335"/>
      <c r="AB870" s="335"/>
      <c r="AC870" s="327"/>
      <c r="AD870" s="327"/>
      <c r="AE870" s="327"/>
      <c r="AF870" s="327"/>
      <c r="AG870" s="327"/>
      <c r="AH870" s="327"/>
      <c r="AI870" s="327"/>
      <c r="AJ870" s="327"/>
      <c r="AK870" s="336"/>
      <c r="AL870" s="42"/>
    </row>
    <row r="871" spans="2:38" x14ac:dyDescent="0.25">
      <c r="B871" s="327"/>
      <c r="C871" s="327"/>
      <c r="D871" s="327"/>
      <c r="E871" s="327"/>
      <c r="F871" s="327"/>
      <c r="G871" s="327"/>
      <c r="H871" s="312"/>
      <c r="I871" s="327"/>
      <c r="J871" s="327"/>
      <c r="K871" s="334"/>
      <c r="L871" s="322"/>
      <c r="M871" s="322"/>
      <c r="N871" s="327"/>
      <c r="O871" s="327"/>
      <c r="P871" s="331"/>
      <c r="Q871" s="327"/>
      <c r="R871" s="276"/>
      <c r="S871" s="322"/>
      <c r="T871" s="322"/>
      <c r="U871" s="327"/>
      <c r="V871" s="335"/>
      <c r="W871" s="327"/>
      <c r="X871" s="327"/>
      <c r="Y871" s="327"/>
      <c r="Z871" s="107"/>
      <c r="AA871" s="335"/>
      <c r="AB871" s="335"/>
      <c r="AC871" s="327"/>
      <c r="AD871" s="327"/>
      <c r="AE871" s="327"/>
      <c r="AF871" s="327"/>
      <c r="AG871" s="327"/>
      <c r="AH871" s="327"/>
      <c r="AI871" s="327"/>
      <c r="AJ871" s="327"/>
      <c r="AK871" s="336"/>
      <c r="AL871" s="42"/>
    </row>
    <row r="872" spans="2:38" x14ac:dyDescent="0.25">
      <c r="B872" s="327"/>
      <c r="C872" s="327"/>
      <c r="D872" s="327"/>
      <c r="E872" s="327"/>
      <c r="F872" s="327"/>
      <c r="G872" s="327"/>
      <c r="H872" s="312"/>
      <c r="I872" s="327"/>
      <c r="J872" s="327"/>
      <c r="K872" s="334"/>
      <c r="L872" s="322"/>
      <c r="M872" s="322"/>
      <c r="N872" s="327"/>
      <c r="O872" s="327"/>
      <c r="P872" s="331"/>
      <c r="Q872" s="327"/>
      <c r="R872" s="276"/>
      <c r="S872" s="322"/>
      <c r="T872" s="322"/>
      <c r="U872" s="327"/>
      <c r="V872" s="335"/>
      <c r="W872" s="327"/>
      <c r="X872" s="327"/>
      <c r="Y872" s="327"/>
      <c r="Z872" s="107"/>
      <c r="AA872" s="335"/>
      <c r="AB872" s="335"/>
      <c r="AC872" s="327"/>
      <c r="AD872" s="327"/>
      <c r="AE872" s="327"/>
      <c r="AF872" s="327"/>
      <c r="AG872" s="327"/>
      <c r="AH872" s="327"/>
      <c r="AI872" s="327"/>
      <c r="AJ872" s="327"/>
      <c r="AK872" s="336"/>
      <c r="AL872" s="42"/>
    </row>
    <row r="873" spans="2:38" x14ac:dyDescent="0.25">
      <c r="B873" s="327"/>
      <c r="C873" s="327"/>
      <c r="D873" s="327"/>
      <c r="E873" s="327"/>
      <c r="F873" s="327"/>
      <c r="G873" s="327"/>
      <c r="H873" s="312"/>
      <c r="I873" s="327"/>
      <c r="J873" s="327"/>
      <c r="K873" s="334"/>
      <c r="L873" s="322"/>
      <c r="M873" s="322"/>
      <c r="N873" s="327"/>
      <c r="O873" s="327"/>
      <c r="P873" s="331"/>
      <c r="Q873" s="327"/>
      <c r="R873" s="276"/>
      <c r="S873" s="322"/>
      <c r="T873" s="322"/>
      <c r="U873" s="327"/>
      <c r="V873" s="335"/>
      <c r="W873" s="327"/>
      <c r="X873" s="327"/>
      <c r="Y873" s="327"/>
      <c r="Z873" s="107"/>
      <c r="AA873" s="335"/>
      <c r="AB873" s="335"/>
      <c r="AC873" s="327"/>
      <c r="AD873" s="327"/>
      <c r="AE873" s="327"/>
      <c r="AF873" s="327"/>
      <c r="AG873" s="327"/>
      <c r="AH873" s="327"/>
      <c r="AI873" s="327"/>
      <c r="AJ873" s="327"/>
      <c r="AK873" s="336"/>
      <c r="AL873" s="42"/>
    </row>
    <row r="874" spans="2:38" x14ac:dyDescent="0.25">
      <c r="B874" s="327"/>
      <c r="C874" s="327"/>
      <c r="D874" s="327"/>
      <c r="E874" s="327"/>
      <c r="F874" s="327"/>
      <c r="G874" s="327"/>
      <c r="H874" s="312"/>
      <c r="I874" s="327"/>
      <c r="J874" s="327"/>
      <c r="K874" s="334"/>
      <c r="L874" s="322"/>
      <c r="M874" s="322"/>
      <c r="N874" s="327"/>
      <c r="O874" s="327"/>
      <c r="P874" s="331"/>
      <c r="Q874" s="327"/>
      <c r="R874" s="276"/>
      <c r="S874" s="322"/>
      <c r="T874" s="322"/>
      <c r="U874" s="327"/>
      <c r="V874" s="335"/>
      <c r="W874" s="327"/>
      <c r="X874" s="327"/>
      <c r="Y874" s="327"/>
      <c r="Z874" s="107"/>
      <c r="AA874" s="335"/>
      <c r="AB874" s="335"/>
      <c r="AC874" s="327"/>
      <c r="AD874" s="327"/>
      <c r="AE874" s="327"/>
      <c r="AF874" s="327"/>
      <c r="AG874" s="327"/>
      <c r="AH874" s="327"/>
      <c r="AI874" s="327"/>
      <c r="AJ874" s="327"/>
      <c r="AK874" s="336"/>
      <c r="AL874" s="42"/>
    </row>
    <row r="875" spans="2:38" x14ac:dyDescent="0.25">
      <c r="B875" s="327"/>
      <c r="C875" s="327"/>
      <c r="D875" s="327"/>
      <c r="E875" s="327"/>
      <c r="F875" s="327"/>
      <c r="G875" s="327"/>
      <c r="H875" s="312"/>
      <c r="I875" s="327"/>
      <c r="J875" s="327"/>
      <c r="K875" s="334"/>
      <c r="L875" s="322"/>
      <c r="M875" s="322"/>
      <c r="N875" s="327"/>
      <c r="O875" s="327"/>
      <c r="P875" s="331"/>
      <c r="Q875" s="327"/>
      <c r="R875" s="276"/>
      <c r="S875" s="322"/>
      <c r="T875" s="322"/>
      <c r="U875" s="327"/>
      <c r="V875" s="335"/>
      <c r="W875" s="327"/>
      <c r="X875" s="327"/>
      <c r="Y875" s="327"/>
      <c r="Z875" s="107"/>
      <c r="AA875" s="335"/>
      <c r="AB875" s="335"/>
      <c r="AC875" s="327"/>
      <c r="AD875" s="327"/>
      <c r="AE875" s="327"/>
      <c r="AF875" s="327"/>
      <c r="AG875" s="327"/>
      <c r="AH875" s="327"/>
      <c r="AI875" s="327"/>
      <c r="AJ875" s="327"/>
      <c r="AK875" s="336"/>
      <c r="AL875" s="42"/>
    </row>
    <row r="876" spans="2:38" x14ac:dyDescent="0.25">
      <c r="B876" s="327"/>
      <c r="C876" s="327"/>
      <c r="D876" s="327"/>
      <c r="E876" s="327"/>
      <c r="F876" s="327"/>
      <c r="G876" s="327"/>
      <c r="H876" s="312"/>
      <c r="I876" s="327"/>
      <c r="J876" s="327"/>
      <c r="K876" s="334"/>
      <c r="L876" s="322"/>
      <c r="M876" s="322"/>
      <c r="N876" s="327"/>
      <c r="O876" s="327"/>
      <c r="P876" s="331"/>
      <c r="Q876" s="327"/>
      <c r="R876" s="276"/>
      <c r="S876" s="322"/>
      <c r="T876" s="322"/>
      <c r="U876" s="327"/>
      <c r="V876" s="335"/>
      <c r="W876" s="327"/>
      <c r="X876" s="327"/>
      <c r="Y876" s="327"/>
      <c r="Z876" s="107"/>
      <c r="AA876" s="335"/>
      <c r="AB876" s="335"/>
      <c r="AC876" s="327"/>
      <c r="AD876" s="327"/>
      <c r="AE876" s="327"/>
      <c r="AF876" s="327"/>
      <c r="AG876" s="327"/>
      <c r="AH876" s="327"/>
      <c r="AI876" s="327"/>
      <c r="AJ876" s="327"/>
      <c r="AK876" s="336"/>
      <c r="AL876" s="42"/>
    </row>
    <row r="877" spans="2:38" x14ac:dyDescent="0.25">
      <c r="B877" s="327"/>
      <c r="C877" s="327"/>
      <c r="D877" s="327"/>
      <c r="E877" s="327"/>
      <c r="F877" s="327"/>
      <c r="G877" s="327"/>
      <c r="H877" s="312"/>
      <c r="I877" s="327"/>
      <c r="J877" s="327"/>
      <c r="K877" s="334"/>
      <c r="L877" s="322"/>
      <c r="M877" s="322"/>
      <c r="N877" s="327"/>
      <c r="O877" s="327"/>
      <c r="P877" s="331"/>
      <c r="Q877" s="327"/>
      <c r="R877" s="276"/>
      <c r="S877" s="322"/>
      <c r="T877" s="322"/>
      <c r="U877" s="327"/>
      <c r="V877" s="335"/>
      <c r="W877" s="327"/>
      <c r="X877" s="327"/>
      <c r="Y877" s="327"/>
      <c r="Z877" s="107"/>
      <c r="AA877" s="335"/>
      <c r="AB877" s="335"/>
      <c r="AC877" s="327"/>
      <c r="AD877" s="327"/>
      <c r="AE877" s="327"/>
      <c r="AF877" s="327"/>
      <c r="AG877" s="327"/>
      <c r="AH877" s="327"/>
      <c r="AI877" s="327"/>
      <c r="AJ877" s="327"/>
      <c r="AK877" s="336"/>
      <c r="AL877" s="42"/>
    </row>
    <row r="878" spans="2:38" x14ac:dyDescent="0.25">
      <c r="B878" s="327"/>
      <c r="C878" s="327"/>
      <c r="D878" s="327"/>
      <c r="E878" s="327"/>
      <c r="F878" s="327"/>
      <c r="G878" s="327"/>
      <c r="H878" s="312"/>
      <c r="I878" s="327"/>
      <c r="J878" s="327"/>
      <c r="K878" s="334"/>
      <c r="L878" s="322"/>
      <c r="M878" s="322"/>
      <c r="N878" s="327"/>
      <c r="O878" s="327"/>
      <c r="P878" s="331"/>
      <c r="Q878" s="327"/>
      <c r="R878" s="276"/>
      <c r="S878" s="322"/>
      <c r="T878" s="322"/>
      <c r="U878" s="327"/>
      <c r="V878" s="335"/>
      <c r="W878" s="327"/>
      <c r="X878" s="327"/>
      <c r="Y878" s="327"/>
      <c r="Z878" s="107"/>
      <c r="AA878" s="335"/>
      <c r="AB878" s="335"/>
      <c r="AC878" s="327"/>
      <c r="AD878" s="327"/>
      <c r="AE878" s="327"/>
      <c r="AF878" s="327"/>
      <c r="AG878" s="327"/>
      <c r="AH878" s="327"/>
      <c r="AI878" s="327"/>
      <c r="AJ878" s="327"/>
      <c r="AK878" s="336"/>
      <c r="AL878" s="42"/>
    </row>
    <row r="879" spans="2:38" x14ac:dyDescent="0.25">
      <c r="B879" s="327"/>
      <c r="C879" s="327"/>
      <c r="D879" s="327"/>
      <c r="E879" s="327"/>
      <c r="F879" s="327"/>
      <c r="G879" s="327"/>
      <c r="H879" s="312"/>
      <c r="I879" s="327"/>
      <c r="J879" s="327"/>
      <c r="K879" s="334"/>
      <c r="L879" s="322"/>
      <c r="M879" s="322"/>
      <c r="N879" s="327"/>
      <c r="O879" s="327"/>
      <c r="P879" s="331"/>
      <c r="Q879" s="327"/>
      <c r="R879" s="276"/>
      <c r="S879" s="322"/>
      <c r="T879" s="322"/>
      <c r="U879" s="327"/>
      <c r="V879" s="335"/>
      <c r="W879" s="327"/>
      <c r="X879" s="327"/>
      <c r="Y879" s="327"/>
      <c r="Z879" s="107"/>
      <c r="AA879" s="335"/>
      <c r="AB879" s="335"/>
      <c r="AC879" s="327"/>
      <c r="AD879" s="327"/>
      <c r="AE879" s="327"/>
      <c r="AF879" s="327"/>
      <c r="AG879" s="327"/>
      <c r="AH879" s="327"/>
      <c r="AI879" s="327"/>
      <c r="AJ879" s="327"/>
      <c r="AK879" s="336"/>
      <c r="AL879" s="42"/>
    </row>
    <row r="880" spans="2:38" x14ac:dyDescent="0.25">
      <c r="B880" s="327"/>
      <c r="C880" s="327"/>
      <c r="D880" s="327"/>
      <c r="E880" s="327"/>
      <c r="F880" s="327"/>
      <c r="G880" s="327"/>
      <c r="H880" s="312"/>
      <c r="I880" s="327"/>
      <c r="J880" s="327"/>
      <c r="K880" s="334"/>
      <c r="L880" s="322"/>
      <c r="M880" s="322"/>
      <c r="N880" s="327"/>
      <c r="O880" s="327"/>
      <c r="P880" s="331"/>
      <c r="Q880" s="327"/>
      <c r="R880" s="276"/>
      <c r="S880" s="322"/>
      <c r="T880" s="322"/>
      <c r="U880" s="327"/>
      <c r="V880" s="335"/>
      <c r="W880" s="327"/>
      <c r="X880" s="327"/>
      <c r="Y880" s="327"/>
      <c r="Z880" s="107"/>
      <c r="AA880" s="335"/>
      <c r="AB880" s="335"/>
      <c r="AC880" s="327"/>
      <c r="AD880" s="327"/>
      <c r="AE880" s="327"/>
      <c r="AF880" s="327"/>
      <c r="AG880" s="327"/>
      <c r="AH880" s="327"/>
      <c r="AI880" s="327"/>
      <c r="AJ880" s="327"/>
      <c r="AK880" s="336"/>
      <c r="AL880" s="42"/>
    </row>
    <row r="881" spans="2:38" x14ac:dyDescent="0.25">
      <c r="B881" s="327"/>
      <c r="C881" s="327"/>
      <c r="D881" s="327"/>
      <c r="E881" s="327"/>
      <c r="F881" s="327"/>
      <c r="G881" s="327"/>
      <c r="H881" s="312"/>
      <c r="I881" s="327"/>
      <c r="J881" s="327"/>
      <c r="K881" s="334"/>
      <c r="L881" s="322"/>
      <c r="M881" s="322"/>
      <c r="N881" s="327"/>
      <c r="O881" s="327"/>
      <c r="P881" s="331"/>
      <c r="Q881" s="327"/>
      <c r="R881" s="276"/>
      <c r="S881" s="322"/>
      <c r="T881" s="322"/>
      <c r="U881" s="327"/>
      <c r="V881" s="335"/>
      <c r="W881" s="327"/>
      <c r="X881" s="327"/>
      <c r="Y881" s="327"/>
      <c r="Z881" s="107"/>
      <c r="AA881" s="335"/>
      <c r="AB881" s="335"/>
      <c r="AC881" s="327"/>
      <c r="AD881" s="327"/>
      <c r="AE881" s="327"/>
      <c r="AF881" s="327"/>
      <c r="AG881" s="327"/>
      <c r="AH881" s="327"/>
      <c r="AI881" s="327"/>
      <c r="AJ881" s="327"/>
      <c r="AK881" s="336"/>
      <c r="AL881" s="42"/>
    </row>
    <row r="882" spans="2:38" x14ac:dyDescent="0.25">
      <c r="B882" s="327"/>
      <c r="C882" s="327"/>
      <c r="D882" s="327"/>
      <c r="E882" s="327"/>
      <c r="F882" s="327"/>
      <c r="G882" s="327"/>
      <c r="H882" s="312"/>
      <c r="I882" s="327"/>
      <c r="J882" s="327"/>
      <c r="K882" s="334"/>
      <c r="L882" s="322"/>
      <c r="M882" s="322"/>
      <c r="N882" s="327"/>
      <c r="O882" s="327"/>
      <c r="P882" s="331"/>
      <c r="Q882" s="327"/>
      <c r="R882" s="276"/>
      <c r="S882" s="322"/>
      <c r="T882" s="322"/>
      <c r="U882" s="327"/>
      <c r="V882" s="335"/>
      <c r="W882" s="327"/>
      <c r="X882" s="327"/>
      <c r="Y882" s="327"/>
      <c r="Z882" s="107"/>
      <c r="AA882" s="335"/>
      <c r="AB882" s="335"/>
      <c r="AC882" s="327"/>
      <c r="AD882" s="327"/>
      <c r="AE882" s="327"/>
      <c r="AF882" s="327"/>
      <c r="AG882" s="327"/>
      <c r="AH882" s="327"/>
      <c r="AI882" s="327"/>
      <c r="AJ882" s="327"/>
      <c r="AK882" s="336"/>
      <c r="AL882" s="42"/>
    </row>
    <row r="883" spans="2:38" x14ac:dyDescent="0.25">
      <c r="B883" s="327"/>
      <c r="C883" s="327"/>
      <c r="D883" s="327"/>
      <c r="E883" s="327"/>
      <c r="F883" s="327"/>
      <c r="G883" s="327"/>
      <c r="H883" s="312"/>
      <c r="I883" s="327"/>
      <c r="J883" s="327"/>
      <c r="K883" s="334"/>
      <c r="L883" s="322"/>
      <c r="M883" s="322"/>
      <c r="N883" s="327"/>
      <c r="O883" s="327"/>
      <c r="P883" s="331"/>
      <c r="Q883" s="327"/>
      <c r="R883" s="276"/>
      <c r="S883" s="322"/>
      <c r="T883" s="322"/>
      <c r="U883" s="327"/>
      <c r="V883" s="335"/>
      <c r="W883" s="327"/>
      <c r="X883" s="327"/>
      <c r="Y883" s="327"/>
      <c r="Z883" s="107"/>
      <c r="AA883" s="335"/>
      <c r="AB883" s="335"/>
      <c r="AC883" s="327"/>
      <c r="AD883" s="327"/>
      <c r="AE883" s="327"/>
      <c r="AF883" s="327"/>
      <c r="AG883" s="327"/>
      <c r="AH883" s="327"/>
      <c r="AI883" s="327"/>
      <c r="AJ883" s="327"/>
      <c r="AK883" s="336"/>
      <c r="AL883" s="42"/>
    </row>
    <row r="884" spans="2:38" x14ac:dyDescent="0.25">
      <c r="B884" s="327"/>
      <c r="C884" s="327"/>
      <c r="D884" s="327"/>
      <c r="E884" s="327"/>
      <c r="F884" s="327"/>
      <c r="G884" s="327"/>
      <c r="H884" s="312"/>
      <c r="I884" s="327"/>
      <c r="J884" s="327"/>
      <c r="K884" s="334"/>
      <c r="L884" s="322"/>
      <c r="M884" s="322"/>
      <c r="N884" s="327"/>
      <c r="O884" s="327"/>
      <c r="P884" s="331"/>
      <c r="Q884" s="327"/>
      <c r="R884" s="276"/>
      <c r="S884" s="322"/>
      <c r="T884" s="322"/>
      <c r="U884" s="327"/>
      <c r="V884" s="335"/>
      <c r="W884" s="327"/>
      <c r="X884" s="327"/>
      <c r="Y884" s="327"/>
      <c r="Z884" s="107"/>
      <c r="AA884" s="335"/>
      <c r="AB884" s="335"/>
      <c r="AC884" s="327"/>
      <c r="AD884" s="327"/>
      <c r="AE884" s="327"/>
      <c r="AF884" s="327"/>
      <c r="AG884" s="327"/>
      <c r="AH884" s="327"/>
      <c r="AI884" s="327"/>
      <c r="AJ884" s="327"/>
      <c r="AK884" s="336"/>
      <c r="AL884" s="42"/>
    </row>
    <row r="885" spans="2:38" x14ac:dyDescent="0.25">
      <c r="B885" s="327"/>
      <c r="C885" s="327"/>
      <c r="D885" s="327"/>
      <c r="E885" s="327"/>
      <c r="F885" s="327"/>
      <c r="G885" s="327"/>
      <c r="H885" s="312"/>
      <c r="I885" s="327"/>
      <c r="J885" s="327"/>
      <c r="K885" s="334"/>
      <c r="L885" s="322"/>
      <c r="M885" s="322"/>
      <c r="N885" s="327"/>
      <c r="O885" s="327"/>
      <c r="P885" s="331"/>
      <c r="Q885" s="327"/>
      <c r="R885" s="276"/>
      <c r="S885" s="322"/>
      <c r="T885" s="322"/>
      <c r="U885" s="327"/>
      <c r="V885" s="335"/>
      <c r="W885" s="327"/>
      <c r="X885" s="327"/>
      <c r="Y885" s="327"/>
      <c r="Z885" s="107"/>
      <c r="AA885" s="335"/>
      <c r="AB885" s="335"/>
      <c r="AC885" s="327"/>
      <c r="AD885" s="327"/>
      <c r="AE885" s="327"/>
      <c r="AF885" s="327"/>
      <c r="AG885" s="327"/>
      <c r="AH885" s="327"/>
      <c r="AI885" s="327"/>
      <c r="AJ885" s="327"/>
      <c r="AK885" s="336"/>
      <c r="AL885" s="42"/>
    </row>
    <row r="886" spans="2:38" x14ac:dyDescent="0.25">
      <c r="B886" s="327"/>
      <c r="C886" s="327"/>
      <c r="D886" s="327"/>
      <c r="E886" s="327"/>
      <c r="F886" s="327"/>
      <c r="G886" s="327"/>
      <c r="H886" s="312"/>
      <c r="I886" s="327"/>
      <c r="J886" s="327"/>
      <c r="K886" s="334"/>
      <c r="L886" s="322"/>
      <c r="M886" s="322"/>
      <c r="N886" s="327"/>
      <c r="O886" s="327"/>
      <c r="P886" s="331"/>
      <c r="Q886" s="327"/>
      <c r="R886" s="276"/>
      <c r="S886" s="322"/>
      <c r="T886" s="322"/>
      <c r="U886" s="327"/>
      <c r="V886" s="335"/>
      <c r="W886" s="327"/>
      <c r="X886" s="327"/>
      <c r="Y886" s="327"/>
      <c r="Z886" s="107"/>
      <c r="AA886" s="335"/>
      <c r="AB886" s="335"/>
      <c r="AC886" s="327"/>
      <c r="AD886" s="327"/>
      <c r="AE886" s="327"/>
      <c r="AF886" s="327"/>
      <c r="AG886" s="327"/>
      <c r="AH886" s="327"/>
      <c r="AI886" s="327"/>
      <c r="AJ886" s="327"/>
      <c r="AK886" s="336"/>
      <c r="AL886" s="42"/>
    </row>
    <row r="887" spans="2:38" x14ac:dyDescent="0.25">
      <c r="B887" s="327"/>
      <c r="C887" s="327"/>
      <c r="D887" s="327"/>
      <c r="E887" s="327"/>
      <c r="F887" s="327"/>
      <c r="G887" s="327"/>
      <c r="H887" s="312"/>
      <c r="I887" s="327"/>
      <c r="J887" s="327"/>
      <c r="K887" s="334"/>
      <c r="L887" s="322"/>
      <c r="M887" s="322"/>
      <c r="N887" s="327"/>
      <c r="O887" s="327"/>
      <c r="P887" s="331"/>
      <c r="Q887" s="327"/>
      <c r="R887" s="276"/>
      <c r="S887" s="322"/>
      <c r="T887" s="322"/>
      <c r="U887" s="327"/>
      <c r="V887" s="335"/>
      <c r="W887" s="327"/>
      <c r="X887" s="327"/>
      <c r="Y887" s="327"/>
      <c r="Z887" s="107"/>
      <c r="AA887" s="335"/>
      <c r="AB887" s="335"/>
      <c r="AC887" s="327"/>
      <c r="AD887" s="327"/>
      <c r="AE887" s="327"/>
      <c r="AF887" s="327"/>
      <c r="AG887" s="327"/>
      <c r="AH887" s="327"/>
      <c r="AI887" s="327"/>
      <c r="AJ887" s="327"/>
      <c r="AK887" s="336"/>
      <c r="AL887" s="42"/>
    </row>
    <row r="888" spans="2:38" x14ac:dyDescent="0.25">
      <c r="B888" s="327"/>
      <c r="C888" s="327"/>
      <c r="D888" s="327"/>
      <c r="E888" s="327"/>
      <c r="F888" s="327"/>
      <c r="G888" s="327"/>
      <c r="H888" s="312"/>
      <c r="I888" s="327"/>
      <c r="J888" s="327"/>
      <c r="K888" s="334"/>
      <c r="L888" s="322"/>
      <c r="M888" s="322"/>
      <c r="N888" s="327"/>
      <c r="O888" s="327"/>
      <c r="P888" s="331"/>
      <c r="Q888" s="327"/>
      <c r="R888" s="276"/>
      <c r="S888" s="322"/>
      <c r="T888" s="322"/>
      <c r="U888" s="327"/>
      <c r="V888" s="335"/>
      <c r="W888" s="327"/>
      <c r="X888" s="327"/>
      <c r="Y888" s="327"/>
      <c r="Z888" s="107"/>
      <c r="AA888" s="335"/>
      <c r="AB888" s="335"/>
      <c r="AC888" s="327"/>
      <c r="AD888" s="327"/>
      <c r="AE888" s="327"/>
      <c r="AF888" s="327"/>
      <c r="AG888" s="327"/>
      <c r="AH888" s="327"/>
      <c r="AI888" s="327"/>
      <c r="AJ888" s="327"/>
      <c r="AK888" s="336"/>
      <c r="AL888" s="42"/>
    </row>
    <row r="889" spans="2:38" x14ac:dyDescent="0.25">
      <c r="B889" s="327"/>
      <c r="C889" s="327"/>
      <c r="D889" s="327"/>
      <c r="E889" s="327"/>
      <c r="F889" s="327"/>
      <c r="G889" s="327"/>
      <c r="H889" s="312"/>
      <c r="I889" s="327"/>
      <c r="J889" s="327"/>
      <c r="K889" s="334"/>
      <c r="L889" s="322"/>
      <c r="M889" s="322"/>
      <c r="N889" s="327"/>
      <c r="O889" s="327"/>
      <c r="P889" s="331"/>
      <c r="Q889" s="327"/>
      <c r="R889" s="276"/>
      <c r="S889" s="322"/>
      <c r="T889" s="322"/>
      <c r="U889" s="327"/>
      <c r="V889" s="335"/>
      <c r="W889" s="327"/>
      <c r="X889" s="327"/>
      <c r="Y889" s="327"/>
      <c r="Z889" s="107"/>
      <c r="AA889" s="335"/>
      <c r="AB889" s="335"/>
      <c r="AC889" s="327"/>
      <c r="AD889" s="327"/>
      <c r="AE889" s="327"/>
      <c r="AF889" s="327"/>
      <c r="AG889" s="327"/>
      <c r="AH889" s="327"/>
      <c r="AI889" s="327"/>
      <c r="AJ889" s="327"/>
      <c r="AK889" s="336"/>
      <c r="AL889" s="42"/>
    </row>
    <row r="890" spans="2:38" x14ac:dyDescent="0.25">
      <c r="B890" s="327"/>
      <c r="C890" s="327"/>
      <c r="D890" s="327"/>
      <c r="E890" s="327"/>
      <c r="F890" s="327"/>
      <c r="G890" s="327"/>
      <c r="H890" s="312"/>
      <c r="I890" s="327"/>
      <c r="J890" s="327"/>
      <c r="K890" s="334"/>
      <c r="L890" s="322"/>
      <c r="M890" s="322"/>
      <c r="N890" s="327"/>
      <c r="O890" s="327"/>
      <c r="P890" s="331"/>
      <c r="Q890" s="327"/>
      <c r="R890" s="276"/>
      <c r="S890" s="322"/>
      <c r="T890" s="322"/>
      <c r="U890" s="327"/>
      <c r="V890" s="335"/>
      <c r="W890" s="327"/>
      <c r="X890" s="327"/>
      <c r="Y890" s="327"/>
      <c r="Z890" s="107"/>
      <c r="AA890" s="335"/>
      <c r="AB890" s="335"/>
      <c r="AC890" s="327"/>
      <c r="AD890" s="327"/>
      <c r="AE890" s="327"/>
      <c r="AF890" s="327"/>
      <c r="AG890" s="327"/>
      <c r="AH890" s="327"/>
      <c r="AI890" s="327"/>
      <c r="AJ890" s="327"/>
      <c r="AK890" s="336"/>
      <c r="AL890" s="42"/>
    </row>
    <row r="891" spans="2:38" x14ac:dyDescent="0.25">
      <c r="B891" s="327"/>
      <c r="C891" s="327"/>
      <c r="D891" s="327"/>
      <c r="E891" s="327"/>
      <c r="F891" s="327"/>
      <c r="G891" s="327"/>
      <c r="H891" s="312"/>
      <c r="I891" s="327"/>
      <c r="J891" s="327"/>
      <c r="K891" s="334"/>
      <c r="L891" s="322"/>
      <c r="M891" s="322"/>
      <c r="N891" s="327"/>
      <c r="O891" s="327"/>
      <c r="P891" s="331"/>
      <c r="Q891" s="327"/>
      <c r="R891" s="276"/>
      <c r="S891" s="322"/>
      <c r="T891" s="322"/>
      <c r="U891" s="327"/>
      <c r="V891" s="335"/>
      <c r="W891" s="327"/>
      <c r="X891" s="327"/>
      <c r="Y891" s="327"/>
      <c r="Z891" s="107"/>
      <c r="AA891" s="335"/>
      <c r="AB891" s="335"/>
      <c r="AC891" s="327"/>
      <c r="AD891" s="327"/>
      <c r="AE891" s="327"/>
      <c r="AF891" s="327"/>
      <c r="AG891" s="327"/>
      <c r="AH891" s="327"/>
      <c r="AI891" s="327"/>
      <c r="AJ891" s="327"/>
      <c r="AK891" s="336"/>
      <c r="AL891" s="42"/>
    </row>
    <row r="892" spans="2:38" x14ac:dyDescent="0.25">
      <c r="B892" s="327"/>
      <c r="C892" s="327"/>
      <c r="D892" s="327"/>
      <c r="E892" s="327"/>
      <c r="F892" s="327"/>
      <c r="G892" s="327"/>
      <c r="H892" s="312"/>
      <c r="I892" s="327"/>
      <c r="J892" s="327"/>
      <c r="K892" s="334"/>
      <c r="L892" s="322"/>
      <c r="M892" s="322"/>
      <c r="N892" s="327"/>
      <c r="O892" s="327"/>
      <c r="P892" s="331"/>
      <c r="Q892" s="327"/>
      <c r="R892" s="276"/>
      <c r="S892" s="322"/>
      <c r="T892" s="322"/>
      <c r="U892" s="327"/>
      <c r="V892" s="335"/>
      <c r="W892" s="327"/>
      <c r="X892" s="327"/>
      <c r="Y892" s="327"/>
      <c r="Z892" s="107"/>
      <c r="AA892" s="335"/>
      <c r="AB892" s="335"/>
      <c r="AC892" s="327"/>
      <c r="AD892" s="327"/>
      <c r="AE892" s="327"/>
      <c r="AF892" s="327"/>
      <c r="AG892" s="327"/>
      <c r="AH892" s="327"/>
      <c r="AI892" s="327"/>
      <c r="AJ892" s="327"/>
      <c r="AK892" s="336"/>
      <c r="AL892" s="42"/>
    </row>
    <row r="893" spans="2:38" x14ac:dyDescent="0.25">
      <c r="B893" s="327"/>
      <c r="C893" s="327"/>
      <c r="D893" s="327"/>
      <c r="E893" s="327"/>
      <c r="F893" s="327"/>
      <c r="G893" s="327"/>
      <c r="H893" s="312"/>
      <c r="I893" s="327"/>
      <c r="J893" s="327"/>
      <c r="K893" s="334"/>
      <c r="L893" s="322"/>
      <c r="M893" s="322"/>
      <c r="N893" s="327"/>
      <c r="O893" s="327"/>
      <c r="P893" s="331"/>
      <c r="Q893" s="327"/>
      <c r="R893" s="276"/>
      <c r="S893" s="322"/>
      <c r="T893" s="322"/>
      <c r="U893" s="327"/>
      <c r="V893" s="335"/>
      <c r="W893" s="327"/>
      <c r="X893" s="327"/>
      <c r="Y893" s="327"/>
      <c r="Z893" s="107"/>
      <c r="AA893" s="335"/>
      <c r="AB893" s="335"/>
      <c r="AC893" s="327"/>
      <c r="AD893" s="327"/>
      <c r="AE893" s="327"/>
      <c r="AF893" s="327"/>
      <c r="AG893" s="327"/>
      <c r="AH893" s="327"/>
      <c r="AI893" s="327"/>
      <c r="AJ893" s="327"/>
      <c r="AK893" s="336"/>
      <c r="AL893" s="42"/>
    </row>
    <row r="894" spans="2:38" x14ac:dyDescent="0.25">
      <c r="B894" s="327"/>
      <c r="C894" s="327"/>
      <c r="D894" s="327"/>
      <c r="E894" s="327"/>
      <c r="F894" s="327"/>
      <c r="G894" s="327"/>
      <c r="H894" s="312"/>
      <c r="I894" s="327"/>
      <c r="J894" s="327"/>
      <c r="K894" s="334"/>
      <c r="L894" s="322"/>
      <c r="M894" s="322"/>
      <c r="N894" s="327"/>
      <c r="O894" s="327"/>
      <c r="P894" s="331"/>
      <c r="Q894" s="327"/>
      <c r="R894" s="276"/>
      <c r="S894" s="322"/>
      <c r="T894" s="322"/>
      <c r="U894" s="327"/>
      <c r="V894" s="335"/>
      <c r="W894" s="327"/>
      <c r="X894" s="327"/>
      <c r="Y894" s="327"/>
      <c r="Z894" s="107"/>
      <c r="AA894" s="335"/>
      <c r="AB894" s="335"/>
      <c r="AC894" s="327"/>
      <c r="AD894" s="327"/>
      <c r="AE894" s="327"/>
      <c r="AF894" s="327"/>
      <c r="AG894" s="327"/>
      <c r="AH894" s="327"/>
      <c r="AI894" s="327"/>
      <c r="AJ894" s="327"/>
      <c r="AK894" s="336"/>
      <c r="AL894" s="42"/>
    </row>
    <row r="895" spans="2:38" x14ac:dyDescent="0.25">
      <c r="B895" s="327"/>
      <c r="C895" s="327"/>
      <c r="D895" s="327"/>
      <c r="E895" s="327"/>
      <c r="F895" s="327"/>
      <c r="G895" s="327"/>
      <c r="H895" s="312"/>
      <c r="I895" s="327"/>
      <c r="J895" s="327"/>
      <c r="K895" s="334"/>
      <c r="L895" s="322"/>
      <c r="M895" s="322"/>
      <c r="N895" s="327"/>
      <c r="O895" s="327"/>
      <c r="P895" s="331"/>
      <c r="Q895" s="327"/>
      <c r="R895" s="276"/>
      <c r="S895" s="322"/>
      <c r="T895" s="322"/>
      <c r="U895" s="327"/>
      <c r="V895" s="335"/>
      <c r="W895" s="327"/>
      <c r="X895" s="327"/>
      <c r="Y895" s="327"/>
      <c r="Z895" s="107"/>
      <c r="AA895" s="335"/>
      <c r="AB895" s="335"/>
      <c r="AC895" s="327"/>
      <c r="AD895" s="327"/>
      <c r="AE895" s="327"/>
      <c r="AF895" s="327"/>
      <c r="AG895" s="327"/>
      <c r="AH895" s="327"/>
      <c r="AI895" s="327"/>
      <c r="AJ895" s="327"/>
      <c r="AK895" s="336"/>
      <c r="AL895" s="42"/>
    </row>
    <row r="896" spans="2:38" x14ac:dyDescent="0.25">
      <c r="B896" s="327"/>
      <c r="C896" s="327"/>
      <c r="D896" s="327"/>
      <c r="E896" s="327"/>
      <c r="F896" s="327"/>
      <c r="G896" s="327"/>
      <c r="H896" s="312"/>
      <c r="I896" s="327"/>
      <c r="J896" s="327"/>
      <c r="K896" s="334"/>
      <c r="L896" s="322"/>
      <c r="M896" s="322"/>
      <c r="N896" s="327"/>
      <c r="O896" s="327"/>
      <c r="P896" s="331"/>
      <c r="Q896" s="327"/>
      <c r="R896" s="276"/>
      <c r="S896" s="322"/>
      <c r="T896" s="322"/>
      <c r="U896" s="327"/>
      <c r="V896" s="335"/>
      <c r="W896" s="327"/>
      <c r="X896" s="327"/>
      <c r="Y896" s="327"/>
      <c r="Z896" s="107"/>
      <c r="AA896" s="335"/>
      <c r="AB896" s="335"/>
      <c r="AC896" s="327"/>
      <c r="AD896" s="327"/>
      <c r="AE896" s="327"/>
      <c r="AF896" s="327"/>
      <c r="AG896" s="327"/>
      <c r="AH896" s="327"/>
      <c r="AI896" s="327"/>
      <c r="AJ896" s="327"/>
      <c r="AK896" s="336"/>
      <c r="AL896" s="42"/>
    </row>
    <row r="897" spans="2:38" x14ac:dyDescent="0.25">
      <c r="B897" s="327"/>
      <c r="C897" s="327"/>
      <c r="D897" s="327"/>
      <c r="E897" s="327"/>
      <c r="F897" s="327"/>
      <c r="G897" s="327"/>
      <c r="H897" s="312"/>
      <c r="I897" s="327"/>
      <c r="J897" s="327"/>
      <c r="K897" s="334"/>
      <c r="L897" s="322"/>
      <c r="M897" s="322"/>
      <c r="N897" s="327"/>
      <c r="O897" s="327"/>
      <c r="P897" s="331"/>
      <c r="Q897" s="327"/>
      <c r="R897" s="276"/>
      <c r="S897" s="322"/>
      <c r="T897" s="322"/>
      <c r="U897" s="327"/>
      <c r="V897" s="335"/>
      <c r="W897" s="327"/>
      <c r="X897" s="327"/>
      <c r="Y897" s="327"/>
      <c r="Z897" s="107"/>
      <c r="AA897" s="335"/>
      <c r="AB897" s="335"/>
      <c r="AC897" s="327"/>
      <c r="AD897" s="327"/>
      <c r="AE897" s="327"/>
      <c r="AF897" s="327"/>
      <c r="AG897" s="327"/>
      <c r="AH897" s="327"/>
      <c r="AI897" s="327"/>
      <c r="AJ897" s="327"/>
      <c r="AK897" s="336"/>
      <c r="AL897" s="42"/>
    </row>
    <row r="898" spans="2:38" x14ac:dyDescent="0.25">
      <c r="B898" s="327"/>
      <c r="C898" s="327"/>
      <c r="D898" s="327"/>
      <c r="E898" s="327"/>
      <c r="F898" s="327"/>
      <c r="G898" s="327"/>
      <c r="H898" s="312"/>
      <c r="I898" s="327"/>
      <c r="J898" s="327"/>
      <c r="K898" s="334"/>
      <c r="L898" s="322"/>
      <c r="M898" s="322"/>
      <c r="N898" s="327"/>
      <c r="O898" s="327"/>
      <c r="P898" s="331"/>
      <c r="Q898" s="327"/>
      <c r="R898" s="276"/>
      <c r="S898" s="322"/>
      <c r="T898" s="322"/>
      <c r="U898" s="327"/>
      <c r="V898" s="335"/>
      <c r="W898" s="327"/>
      <c r="X898" s="327"/>
      <c r="Y898" s="327"/>
      <c r="Z898" s="107"/>
      <c r="AA898" s="335"/>
      <c r="AB898" s="335"/>
      <c r="AC898" s="327"/>
      <c r="AD898" s="327"/>
      <c r="AE898" s="327"/>
      <c r="AF898" s="327"/>
      <c r="AG898" s="327"/>
      <c r="AH898" s="327"/>
      <c r="AI898" s="327"/>
      <c r="AJ898" s="327"/>
      <c r="AK898" s="336"/>
      <c r="AL898" s="42"/>
    </row>
    <row r="899" spans="2:38" x14ac:dyDescent="0.25">
      <c r="B899" s="327"/>
      <c r="C899" s="327"/>
      <c r="D899" s="327"/>
      <c r="E899" s="327"/>
      <c r="F899" s="327"/>
      <c r="G899" s="327"/>
      <c r="H899" s="312"/>
      <c r="I899" s="327"/>
      <c r="J899" s="327"/>
      <c r="K899" s="334"/>
      <c r="L899" s="322"/>
      <c r="M899" s="322"/>
      <c r="N899" s="327"/>
      <c r="O899" s="327"/>
      <c r="P899" s="331"/>
      <c r="Q899" s="327"/>
      <c r="R899" s="276"/>
      <c r="S899" s="322"/>
      <c r="T899" s="322"/>
      <c r="U899" s="327"/>
      <c r="V899" s="335"/>
      <c r="W899" s="327"/>
      <c r="X899" s="327"/>
      <c r="Y899" s="327"/>
      <c r="Z899" s="107"/>
      <c r="AA899" s="335"/>
      <c r="AB899" s="335"/>
      <c r="AC899" s="327"/>
      <c r="AD899" s="327"/>
      <c r="AE899" s="327"/>
      <c r="AF899" s="327"/>
      <c r="AG899" s="327"/>
      <c r="AH899" s="327"/>
      <c r="AI899" s="327"/>
      <c r="AJ899" s="327"/>
      <c r="AK899" s="336"/>
      <c r="AL899" s="42"/>
    </row>
    <row r="900" spans="2:38" x14ac:dyDescent="0.25">
      <c r="B900" s="327"/>
      <c r="C900" s="327"/>
      <c r="D900" s="327"/>
      <c r="E900" s="327"/>
      <c r="F900" s="327"/>
      <c r="G900" s="327"/>
      <c r="H900" s="312"/>
      <c r="I900" s="327"/>
      <c r="J900" s="327"/>
      <c r="K900" s="334"/>
      <c r="L900" s="322"/>
      <c r="M900" s="322"/>
      <c r="N900" s="327"/>
      <c r="O900" s="327"/>
      <c r="P900" s="331"/>
      <c r="Q900" s="327"/>
      <c r="R900" s="276"/>
      <c r="S900" s="322"/>
      <c r="T900" s="322"/>
      <c r="U900" s="327"/>
      <c r="V900" s="335"/>
      <c r="W900" s="327"/>
      <c r="X900" s="327"/>
      <c r="Y900" s="327"/>
      <c r="Z900" s="107"/>
      <c r="AA900" s="335"/>
      <c r="AB900" s="335"/>
      <c r="AC900" s="327"/>
      <c r="AD900" s="327"/>
      <c r="AE900" s="327"/>
      <c r="AF900" s="327"/>
      <c r="AG900" s="327"/>
      <c r="AH900" s="327"/>
      <c r="AI900" s="327"/>
      <c r="AJ900" s="327"/>
      <c r="AK900" s="336"/>
      <c r="AL900" s="42"/>
    </row>
    <row r="901" spans="2:38" x14ac:dyDescent="0.25">
      <c r="B901" s="327"/>
      <c r="C901" s="327"/>
      <c r="D901" s="327"/>
      <c r="E901" s="327"/>
      <c r="F901" s="327"/>
      <c r="G901" s="327"/>
      <c r="H901" s="312"/>
      <c r="I901" s="327"/>
      <c r="J901" s="327"/>
      <c r="K901" s="334"/>
      <c r="L901" s="322"/>
      <c r="M901" s="322"/>
      <c r="N901" s="327"/>
      <c r="O901" s="327"/>
      <c r="P901" s="331"/>
      <c r="Q901" s="327"/>
      <c r="R901" s="276"/>
      <c r="S901" s="322"/>
      <c r="T901" s="322"/>
      <c r="U901" s="327"/>
      <c r="V901" s="335"/>
      <c r="W901" s="327"/>
      <c r="X901" s="327"/>
      <c r="Y901" s="327"/>
      <c r="Z901" s="107"/>
      <c r="AA901" s="335"/>
      <c r="AB901" s="335"/>
      <c r="AC901" s="327"/>
      <c r="AD901" s="327"/>
      <c r="AE901" s="327"/>
      <c r="AF901" s="327"/>
      <c r="AG901" s="327"/>
      <c r="AH901" s="327"/>
      <c r="AI901" s="327"/>
      <c r="AJ901" s="327"/>
      <c r="AK901" s="336"/>
      <c r="AL901" s="42"/>
    </row>
    <row r="902" spans="2:38" x14ac:dyDescent="0.25">
      <c r="B902" s="327"/>
      <c r="C902" s="327"/>
      <c r="D902" s="327"/>
      <c r="E902" s="327"/>
      <c r="F902" s="327"/>
      <c r="G902" s="327"/>
      <c r="H902" s="312"/>
      <c r="I902" s="327"/>
      <c r="J902" s="327"/>
      <c r="K902" s="334"/>
      <c r="L902" s="322"/>
      <c r="M902" s="322"/>
      <c r="N902" s="327"/>
      <c r="O902" s="327"/>
      <c r="P902" s="331"/>
      <c r="Q902" s="327"/>
      <c r="R902" s="276"/>
      <c r="S902" s="322"/>
      <c r="T902" s="322"/>
      <c r="U902" s="327"/>
      <c r="V902" s="335"/>
      <c r="W902" s="327"/>
      <c r="X902" s="327"/>
      <c r="Y902" s="327"/>
      <c r="Z902" s="107"/>
      <c r="AA902" s="335"/>
      <c r="AB902" s="335"/>
      <c r="AC902" s="327"/>
      <c r="AD902" s="327"/>
      <c r="AE902" s="327"/>
      <c r="AF902" s="327"/>
      <c r="AG902" s="327"/>
      <c r="AH902" s="327"/>
      <c r="AI902" s="327"/>
      <c r="AJ902" s="327"/>
      <c r="AK902" s="336"/>
      <c r="AL902" s="42"/>
    </row>
    <row r="903" spans="2:38" x14ac:dyDescent="0.25">
      <c r="B903" s="327"/>
      <c r="C903" s="327"/>
      <c r="D903" s="327"/>
      <c r="E903" s="327"/>
      <c r="F903" s="327"/>
      <c r="G903" s="327"/>
      <c r="H903" s="312"/>
      <c r="I903" s="327"/>
      <c r="J903" s="327"/>
      <c r="K903" s="334"/>
      <c r="L903" s="322"/>
      <c r="M903" s="322"/>
      <c r="N903" s="327"/>
      <c r="O903" s="327"/>
      <c r="P903" s="331"/>
      <c r="Q903" s="327"/>
      <c r="R903" s="276"/>
      <c r="S903" s="322"/>
      <c r="T903" s="322"/>
      <c r="U903" s="327"/>
      <c r="V903" s="335"/>
      <c r="W903" s="327"/>
      <c r="X903" s="327"/>
      <c r="Y903" s="327"/>
      <c r="Z903" s="107"/>
      <c r="AA903" s="335"/>
      <c r="AB903" s="335"/>
      <c r="AC903" s="327"/>
      <c r="AD903" s="327"/>
      <c r="AE903" s="327"/>
      <c r="AF903" s="327"/>
      <c r="AG903" s="327"/>
      <c r="AH903" s="327"/>
      <c r="AI903" s="327"/>
      <c r="AJ903" s="327"/>
      <c r="AK903" s="336"/>
      <c r="AL903" s="42"/>
    </row>
    <row r="904" spans="2:38" x14ac:dyDescent="0.25">
      <c r="B904" s="327"/>
      <c r="C904" s="327"/>
      <c r="D904" s="327"/>
      <c r="E904" s="327"/>
      <c r="F904" s="327"/>
      <c r="G904" s="327"/>
      <c r="H904" s="312"/>
      <c r="I904" s="327"/>
      <c r="J904" s="327"/>
      <c r="K904" s="334"/>
      <c r="L904" s="322"/>
      <c r="M904" s="322"/>
      <c r="N904" s="327"/>
      <c r="O904" s="327"/>
      <c r="P904" s="331"/>
      <c r="Q904" s="327"/>
      <c r="R904" s="276"/>
      <c r="S904" s="322"/>
      <c r="T904" s="322"/>
      <c r="U904" s="327"/>
      <c r="V904" s="335"/>
      <c r="W904" s="327"/>
      <c r="X904" s="327"/>
      <c r="Y904" s="327"/>
      <c r="Z904" s="107"/>
      <c r="AA904" s="335"/>
      <c r="AB904" s="335"/>
      <c r="AC904" s="327"/>
      <c r="AD904" s="327"/>
      <c r="AE904" s="327"/>
      <c r="AF904" s="327"/>
      <c r="AG904" s="327"/>
      <c r="AH904" s="327"/>
      <c r="AI904" s="327"/>
      <c r="AJ904" s="327"/>
      <c r="AK904" s="336"/>
      <c r="AL904" s="42"/>
    </row>
    <row r="905" spans="2:38" x14ac:dyDescent="0.25">
      <c r="B905" s="327"/>
      <c r="C905" s="327"/>
      <c r="D905" s="327"/>
      <c r="E905" s="327"/>
      <c r="F905" s="327"/>
      <c r="G905" s="327"/>
      <c r="H905" s="312"/>
      <c r="I905" s="327"/>
      <c r="J905" s="327"/>
      <c r="K905" s="334"/>
      <c r="L905" s="322"/>
      <c r="M905" s="322"/>
      <c r="N905" s="327"/>
      <c r="O905" s="327"/>
      <c r="P905" s="331"/>
      <c r="Q905" s="327"/>
      <c r="R905" s="276"/>
      <c r="S905" s="322"/>
      <c r="T905" s="322"/>
      <c r="U905" s="327"/>
      <c r="V905" s="335"/>
      <c r="W905" s="327"/>
      <c r="X905" s="327"/>
      <c r="Y905" s="327"/>
      <c r="Z905" s="107"/>
      <c r="AA905" s="335"/>
      <c r="AB905" s="335"/>
      <c r="AC905" s="327"/>
      <c r="AD905" s="327"/>
      <c r="AE905" s="327"/>
      <c r="AF905" s="327"/>
      <c r="AG905" s="327"/>
      <c r="AH905" s="327"/>
      <c r="AI905" s="327"/>
      <c r="AJ905" s="327"/>
      <c r="AK905" s="336"/>
      <c r="AL905" s="42"/>
    </row>
    <row r="906" spans="2:38" x14ac:dyDescent="0.25">
      <c r="B906" s="327"/>
      <c r="C906" s="327"/>
      <c r="D906" s="327"/>
      <c r="E906" s="327"/>
      <c r="F906" s="327"/>
      <c r="G906" s="327"/>
      <c r="H906" s="312"/>
      <c r="I906" s="327"/>
      <c r="J906" s="327"/>
      <c r="K906" s="334"/>
      <c r="L906" s="322"/>
      <c r="M906" s="322"/>
      <c r="N906" s="327"/>
      <c r="O906" s="327"/>
      <c r="P906" s="331"/>
      <c r="Q906" s="327"/>
      <c r="R906" s="276"/>
      <c r="S906" s="322"/>
      <c r="T906" s="322"/>
      <c r="U906" s="327"/>
      <c r="V906" s="335"/>
      <c r="W906" s="327"/>
      <c r="X906" s="327"/>
      <c r="Y906" s="327"/>
      <c r="Z906" s="107"/>
      <c r="AA906" s="335"/>
      <c r="AB906" s="335"/>
      <c r="AC906" s="327"/>
      <c r="AD906" s="327"/>
      <c r="AE906" s="327"/>
      <c r="AF906" s="327"/>
      <c r="AG906" s="327"/>
      <c r="AH906" s="327"/>
      <c r="AI906" s="327"/>
      <c r="AJ906" s="327"/>
      <c r="AK906" s="336"/>
      <c r="AL906" s="42"/>
    </row>
    <row r="907" spans="2:38" x14ac:dyDescent="0.25">
      <c r="B907" s="327"/>
      <c r="C907" s="327"/>
      <c r="D907" s="327"/>
      <c r="E907" s="327"/>
      <c r="F907" s="327"/>
      <c r="G907" s="327"/>
      <c r="H907" s="312"/>
      <c r="I907" s="327"/>
      <c r="J907" s="327"/>
      <c r="K907" s="334"/>
      <c r="L907" s="322"/>
      <c r="M907" s="322"/>
      <c r="N907" s="327"/>
      <c r="O907" s="327"/>
      <c r="P907" s="331"/>
      <c r="Q907" s="327"/>
      <c r="R907" s="276"/>
      <c r="S907" s="322"/>
      <c r="T907" s="322"/>
      <c r="U907" s="327"/>
      <c r="V907" s="335"/>
      <c r="W907" s="327"/>
      <c r="X907" s="327"/>
      <c r="Y907" s="327"/>
      <c r="Z907" s="107"/>
      <c r="AA907" s="335"/>
      <c r="AB907" s="335"/>
      <c r="AC907" s="327"/>
      <c r="AD907" s="327"/>
      <c r="AE907" s="327"/>
      <c r="AF907" s="327"/>
      <c r="AG907" s="327"/>
      <c r="AH907" s="327"/>
      <c r="AI907" s="327"/>
      <c r="AJ907" s="327"/>
      <c r="AK907" s="336"/>
      <c r="AL907" s="42"/>
    </row>
    <row r="908" spans="2:38" x14ac:dyDescent="0.25">
      <c r="B908" s="327"/>
      <c r="C908" s="327"/>
      <c r="D908" s="327"/>
      <c r="E908" s="327"/>
      <c r="F908" s="327"/>
      <c r="G908" s="327"/>
      <c r="H908" s="312"/>
      <c r="I908" s="327"/>
      <c r="J908" s="327"/>
      <c r="K908" s="334"/>
      <c r="L908" s="322"/>
      <c r="M908" s="322"/>
      <c r="N908" s="327"/>
      <c r="O908" s="327"/>
      <c r="P908" s="331"/>
      <c r="Q908" s="327"/>
      <c r="R908" s="276"/>
      <c r="S908" s="322"/>
      <c r="T908" s="322"/>
      <c r="U908" s="327"/>
      <c r="V908" s="335"/>
      <c r="W908" s="327"/>
      <c r="X908" s="327"/>
      <c r="Y908" s="327"/>
      <c r="Z908" s="107"/>
      <c r="AA908" s="335"/>
      <c r="AB908" s="335"/>
      <c r="AC908" s="327"/>
      <c r="AD908" s="327"/>
      <c r="AE908" s="327"/>
      <c r="AF908" s="327"/>
      <c r="AG908" s="327"/>
      <c r="AH908" s="327"/>
      <c r="AI908" s="327"/>
      <c r="AJ908" s="327"/>
      <c r="AK908" s="336"/>
      <c r="AL908" s="42"/>
    </row>
    <row r="909" spans="2:38" x14ac:dyDescent="0.25">
      <c r="B909" s="327"/>
      <c r="C909" s="327"/>
      <c r="D909" s="327"/>
      <c r="E909" s="327"/>
      <c r="F909" s="327"/>
      <c r="G909" s="327"/>
      <c r="H909" s="312"/>
      <c r="I909" s="327"/>
      <c r="J909" s="327"/>
      <c r="K909" s="334"/>
      <c r="L909" s="322"/>
      <c r="M909" s="322"/>
      <c r="N909" s="327"/>
      <c r="O909" s="327"/>
      <c r="P909" s="331"/>
      <c r="Q909" s="327"/>
      <c r="R909" s="276"/>
      <c r="S909" s="322"/>
      <c r="T909" s="322"/>
      <c r="U909" s="327"/>
      <c r="V909" s="335"/>
      <c r="W909" s="327"/>
      <c r="X909" s="327"/>
      <c r="Y909" s="327"/>
      <c r="Z909" s="107"/>
      <c r="AA909" s="335"/>
      <c r="AB909" s="335"/>
      <c r="AC909" s="327"/>
      <c r="AD909" s="327"/>
      <c r="AE909" s="327"/>
      <c r="AF909" s="327"/>
      <c r="AG909" s="327"/>
      <c r="AH909" s="327"/>
      <c r="AI909" s="327"/>
      <c r="AJ909" s="327"/>
      <c r="AK909" s="336"/>
      <c r="AL909" s="42"/>
    </row>
    <row r="910" spans="2:38" x14ac:dyDescent="0.25">
      <c r="B910" s="327"/>
      <c r="C910" s="327"/>
      <c r="D910" s="327"/>
      <c r="E910" s="327"/>
      <c r="F910" s="327"/>
      <c r="G910" s="327"/>
      <c r="H910" s="312"/>
      <c r="I910" s="327"/>
      <c r="J910" s="327"/>
      <c r="K910" s="334"/>
      <c r="L910" s="322"/>
      <c r="M910" s="322"/>
      <c r="N910" s="327"/>
      <c r="O910" s="327"/>
      <c r="P910" s="331"/>
      <c r="Q910" s="327"/>
      <c r="R910" s="276"/>
      <c r="S910" s="322"/>
      <c r="T910" s="322"/>
      <c r="U910" s="327"/>
      <c r="V910" s="335"/>
      <c r="W910" s="327"/>
      <c r="X910" s="327"/>
      <c r="Y910" s="327"/>
      <c r="Z910" s="107"/>
      <c r="AA910" s="335"/>
      <c r="AB910" s="335"/>
      <c r="AC910" s="327"/>
      <c r="AD910" s="327"/>
      <c r="AE910" s="327"/>
      <c r="AF910" s="327"/>
      <c r="AG910" s="327"/>
      <c r="AH910" s="327"/>
      <c r="AI910" s="327"/>
      <c r="AJ910" s="327"/>
      <c r="AK910" s="336"/>
      <c r="AL910" s="42"/>
    </row>
    <row r="911" spans="2:38" x14ac:dyDescent="0.25">
      <c r="B911" s="327"/>
      <c r="C911" s="327"/>
      <c r="D911" s="327"/>
      <c r="E911" s="327"/>
      <c r="F911" s="327"/>
      <c r="G911" s="327"/>
      <c r="H911" s="312"/>
      <c r="I911" s="327"/>
      <c r="J911" s="327"/>
      <c r="K911" s="334"/>
      <c r="L911" s="322"/>
      <c r="M911" s="322"/>
      <c r="N911" s="327"/>
      <c r="O911" s="327"/>
      <c r="P911" s="331"/>
      <c r="Q911" s="327"/>
      <c r="R911" s="276"/>
      <c r="S911" s="322"/>
      <c r="T911" s="322"/>
      <c r="U911" s="327"/>
      <c r="V911" s="335"/>
      <c r="W911" s="327"/>
      <c r="X911" s="327"/>
      <c r="Y911" s="327"/>
      <c r="Z911" s="107"/>
      <c r="AA911" s="335"/>
      <c r="AB911" s="335"/>
      <c r="AC911" s="327"/>
      <c r="AD911" s="327"/>
      <c r="AE911" s="327"/>
      <c r="AF911" s="327"/>
      <c r="AG911" s="327"/>
      <c r="AH911" s="327"/>
      <c r="AI911" s="327"/>
      <c r="AJ911" s="327"/>
      <c r="AK911" s="336"/>
      <c r="AL911" s="42"/>
    </row>
    <row r="912" spans="2:38" x14ac:dyDescent="0.25">
      <c r="B912" s="327"/>
      <c r="C912" s="327"/>
      <c r="D912" s="327"/>
      <c r="E912" s="327"/>
      <c r="F912" s="327"/>
      <c r="G912" s="327"/>
      <c r="H912" s="312"/>
      <c r="I912" s="327"/>
      <c r="J912" s="327"/>
      <c r="K912" s="334"/>
      <c r="L912" s="322"/>
      <c r="M912" s="322"/>
      <c r="N912" s="327"/>
      <c r="O912" s="327"/>
      <c r="P912" s="331"/>
      <c r="Q912" s="327"/>
      <c r="R912" s="276"/>
      <c r="S912" s="322"/>
      <c r="T912" s="322"/>
      <c r="U912" s="327"/>
      <c r="V912" s="335"/>
      <c r="W912" s="327"/>
      <c r="X912" s="327"/>
      <c r="Y912" s="327"/>
      <c r="Z912" s="107"/>
      <c r="AA912" s="335"/>
      <c r="AB912" s="335"/>
      <c r="AC912" s="327"/>
      <c r="AD912" s="327"/>
      <c r="AE912" s="327"/>
      <c r="AF912" s="327"/>
      <c r="AG912" s="327"/>
      <c r="AH912" s="327"/>
      <c r="AI912" s="327"/>
      <c r="AJ912" s="327"/>
      <c r="AK912" s="336"/>
      <c r="AL912" s="42"/>
    </row>
    <row r="913" spans="2:38" x14ac:dyDescent="0.25">
      <c r="B913" s="327"/>
      <c r="C913" s="327"/>
      <c r="D913" s="327"/>
      <c r="E913" s="327"/>
      <c r="F913" s="327"/>
      <c r="G913" s="327"/>
      <c r="H913" s="312"/>
      <c r="I913" s="327"/>
      <c r="J913" s="327"/>
      <c r="K913" s="334"/>
      <c r="L913" s="322"/>
      <c r="M913" s="322"/>
      <c r="N913" s="327"/>
      <c r="O913" s="327"/>
      <c r="P913" s="331"/>
      <c r="Q913" s="327"/>
      <c r="R913" s="276"/>
      <c r="S913" s="322"/>
      <c r="T913" s="322"/>
      <c r="U913" s="327"/>
      <c r="V913" s="335"/>
      <c r="W913" s="327"/>
      <c r="X913" s="327"/>
      <c r="Y913" s="327"/>
      <c r="Z913" s="107"/>
      <c r="AA913" s="335"/>
      <c r="AB913" s="335"/>
      <c r="AC913" s="327"/>
      <c r="AD913" s="327"/>
      <c r="AE913" s="327"/>
      <c r="AF913" s="327"/>
      <c r="AG913" s="327"/>
      <c r="AH913" s="327"/>
      <c r="AI913" s="327"/>
      <c r="AJ913" s="327"/>
      <c r="AK913" s="336"/>
      <c r="AL913" s="42"/>
    </row>
    <row r="914" spans="2:38" x14ac:dyDescent="0.25">
      <c r="B914" s="327"/>
      <c r="C914" s="327"/>
      <c r="D914" s="327"/>
      <c r="E914" s="327"/>
      <c r="F914" s="327"/>
      <c r="G914" s="327"/>
      <c r="H914" s="312"/>
      <c r="I914" s="327"/>
      <c r="J914" s="327"/>
      <c r="K914" s="334"/>
      <c r="L914" s="322"/>
      <c r="M914" s="322"/>
      <c r="N914" s="327"/>
      <c r="O914" s="327"/>
      <c r="P914" s="331"/>
      <c r="Q914" s="327"/>
      <c r="R914" s="276"/>
      <c r="S914" s="322"/>
      <c r="T914" s="322"/>
      <c r="U914" s="327"/>
      <c r="V914" s="335"/>
      <c r="W914" s="327"/>
      <c r="X914" s="327"/>
      <c r="Y914" s="327"/>
      <c r="Z914" s="107"/>
      <c r="AA914" s="335"/>
      <c r="AB914" s="335"/>
      <c r="AC914" s="327"/>
      <c r="AD914" s="327"/>
      <c r="AE914" s="327"/>
      <c r="AF914" s="327"/>
      <c r="AG914" s="327"/>
      <c r="AH914" s="327"/>
      <c r="AI914" s="327"/>
      <c r="AJ914" s="327"/>
      <c r="AK914" s="336"/>
      <c r="AL914" s="42"/>
    </row>
    <row r="915" spans="2:38" x14ac:dyDescent="0.25">
      <c r="B915" s="327"/>
      <c r="C915" s="327"/>
      <c r="D915" s="327"/>
      <c r="E915" s="327"/>
      <c r="F915" s="327"/>
      <c r="G915" s="327"/>
      <c r="H915" s="312"/>
      <c r="I915" s="327"/>
      <c r="J915" s="327"/>
      <c r="K915" s="334"/>
      <c r="L915" s="322"/>
      <c r="M915" s="322"/>
      <c r="N915" s="327"/>
      <c r="O915" s="327"/>
      <c r="P915" s="331"/>
      <c r="Q915" s="327"/>
      <c r="R915" s="276"/>
      <c r="S915" s="322"/>
      <c r="T915" s="322"/>
      <c r="U915" s="327"/>
      <c r="V915" s="335"/>
      <c r="W915" s="327"/>
      <c r="X915" s="327"/>
      <c r="Y915" s="327"/>
      <c r="Z915" s="107"/>
      <c r="AA915" s="335"/>
      <c r="AB915" s="335"/>
      <c r="AC915" s="327"/>
      <c r="AD915" s="327"/>
      <c r="AE915" s="327"/>
      <c r="AF915" s="327"/>
      <c r="AG915" s="327"/>
      <c r="AH915" s="327"/>
      <c r="AI915" s="327"/>
      <c r="AJ915" s="327"/>
      <c r="AK915" s="336"/>
      <c r="AL915" s="42"/>
    </row>
    <row r="916" spans="2:38" x14ac:dyDescent="0.25">
      <c r="B916" s="327"/>
      <c r="C916" s="327"/>
      <c r="D916" s="327"/>
      <c r="E916" s="327"/>
      <c r="F916" s="327"/>
      <c r="G916" s="327"/>
      <c r="H916" s="312"/>
      <c r="I916" s="327"/>
      <c r="J916" s="327"/>
      <c r="K916" s="334"/>
      <c r="L916" s="322"/>
      <c r="M916" s="322"/>
      <c r="N916" s="327"/>
      <c r="O916" s="327"/>
      <c r="P916" s="331"/>
      <c r="Q916" s="327"/>
      <c r="R916" s="276"/>
      <c r="S916" s="322"/>
      <c r="T916" s="322"/>
      <c r="U916" s="327"/>
      <c r="V916" s="335"/>
      <c r="W916" s="327"/>
      <c r="X916" s="327"/>
      <c r="Y916" s="327"/>
      <c r="Z916" s="107"/>
      <c r="AA916" s="335"/>
      <c r="AB916" s="335"/>
      <c r="AC916" s="327"/>
      <c r="AD916" s="327"/>
      <c r="AE916" s="327"/>
      <c r="AF916" s="327"/>
      <c r="AG916" s="327"/>
      <c r="AH916" s="327"/>
      <c r="AI916" s="327"/>
      <c r="AJ916" s="327"/>
      <c r="AK916" s="336"/>
      <c r="AL916" s="42"/>
    </row>
    <row r="917" spans="2:38" x14ac:dyDescent="0.25">
      <c r="B917" s="327"/>
      <c r="C917" s="327"/>
      <c r="D917" s="327"/>
      <c r="E917" s="327"/>
      <c r="F917" s="327"/>
      <c r="G917" s="327"/>
      <c r="H917" s="312"/>
      <c r="I917" s="327"/>
      <c r="J917" s="327"/>
      <c r="K917" s="334"/>
      <c r="L917" s="322"/>
      <c r="M917" s="322"/>
      <c r="N917" s="327"/>
      <c r="O917" s="327"/>
      <c r="P917" s="331"/>
      <c r="Q917" s="327"/>
      <c r="R917" s="276"/>
      <c r="S917" s="322"/>
      <c r="T917" s="322"/>
      <c r="U917" s="327"/>
      <c r="V917" s="335"/>
      <c r="W917" s="327"/>
      <c r="X917" s="327"/>
      <c r="Y917" s="327"/>
      <c r="Z917" s="107"/>
      <c r="AA917" s="335"/>
      <c r="AB917" s="335"/>
      <c r="AC917" s="327"/>
      <c r="AD917" s="327"/>
      <c r="AE917" s="327"/>
      <c r="AF917" s="327"/>
      <c r="AG917" s="327"/>
      <c r="AH917" s="327"/>
      <c r="AI917" s="327"/>
      <c r="AJ917" s="327"/>
      <c r="AK917" s="336"/>
      <c r="AL917" s="42"/>
    </row>
    <row r="918" spans="2:38" x14ac:dyDescent="0.25">
      <c r="B918" s="327"/>
      <c r="C918" s="327"/>
      <c r="D918" s="327"/>
      <c r="E918" s="327"/>
      <c r="F918" s="327"/>
      <c r="G918" s="327"/>
      <c r="H918" s="312"/>
      <c r="I918" s="327"/>
      <c r="J918" s="327"/>
      <c r="K918" s="334"/>
      <c r="L918" s="322"/>
      <c r="M918" s="322"/>
      <c r="N918" s="327"/>
      <c r="O918" s="327"/>
      <c r="P918" s="331"/>
      <c r="Q918" s="327"/>
      <c r="R918" s="276"/>
      <c r="S918" s="322"/>
      <c r="T918" s="322"/>
      <c r="U918" s="327"/>
      <c r="V918" s="335"/>
      <c r="W918" s="327"/>
      <c r="X918" s="327"/>
      <c r="Y918" s="327"/>
      <c r="Z918" s="107"/>
      <c r="AA918" s="335"/>
      <c r="AB918" s="335"/>
      <c r="AC918" s="327"/>
      <c r="AD918" s="327"/>
      <c r="AE918" s="327"/>
      <c r="AF918" s="327"/>
      <c r="AG918" s="327"/>
      <c r="AH918" s="327"/>
      <c r="AI918" s="327"/>
      <c r="AJ918" s="327"/>
      <c r="AK918" s="336"/>
      <c r="AL918" s="42"/>
    </row>
    <row r="919" spans="2:38" x14ac:dyDescent="0.25">
      <c r="B919" s="327"/>
      <c r="C919" s="327"/>
      <c r="D919" s="327"/>
      <c r="E919" s="327"/>
      <c r="F919" s="327"/>
      <c r="G919" s="327"/>
      <c r="H919" s="312"/>
      <c r="I919" s="327"/>
      <c r="J919" s="327"/>
      <c r="K919" s="334"/>
      <c r="L919" s="322"/>
      <c r="M919" s="322"/>
      <c r="N919" s="327"/>
      <c r="O919" s="327"/>
      <c r="P919" s="331"/>
      <c r="Q919" s="327"/>
      <c r="R919" s="276"/>
      <c r="S919" s="322"/>
      <c r="T919" s="322"/>
      <c r="U919" s="327"/>
      <c r="V919" s="335"/>
      <c r="W919" s="327"/>
      <c r="X919" s="327"/>
      <c r="Y919" s="327"/>
      <c r="Z919" s="107"/>
      <c r="AA919" s="335"/>
      <c r="AB919" s="335"/>
      <c r="AC919" s="327"/>
      <c r="AD919" s="327"/>
      <c r="AE919" s="327"/>
      <c r="AF919" s="327"/>
      <c r="AG919" s="327"/>
      <c r="AH919" s="327"/>
      <c r="AI919" s="327"/>
      <c r="AJ919" s="327"/>
      <c r="AK919" s="336"/>
      <c r="AL919" s="42"/>
    </row>
    <row r="920" spans="2:38" x14ac:dyDescent="0.25">
      <c r="B920" s="327"/>
      <c r="C920" s="327"/>
      <c r="D920" s="327"/>
      <c r="E920" s="327"/>
      <c r="F920" s="327"/>
      <c r="G920" s="327"/>
      <c r="H920" s="312"/>
      <c r="I920" s="327"/>
      <c r="J920" s="327"/>
      <c r="K920" s="334"/>
      <c r="L920" s="322"/>
      <c r="M920" s="322"/>
      <c r="N920" s="327"/>
      <c r="O920" s="327"/>
      <c r="P920" s="331"/>
      <c r="Q920" s="327"/>
      <c r="R920" s="276"/>
      <c r="S920" s="322"/>
      <c r="T920" s="322"/>
      <c r="U920" s="327"/>
      <c r="V920" s="335"/>
      <c r="W920" s="327"/>
      <c r="X920" s="327"/>
      <c r="Y920" s="327"/>
      <c r="Z920" s="107"/>
      <c r="AA920" s="335"/>
      <c r="AB920" s="335"/>
      <c r="AC920" s="327"/>
      <c r="AD920" s="327"/>
      <c r="AE920" s="327"/>
      <c r="AF920" s="327"/>
      <c r="AG920" s="327"/>
      <c r="AH920" s="327"/>
      <c r="AI920" s="327"/>
      <c r="AJ920" s="327"/>
      <c r="AK920" s="336"/>
      <c r="AL920" s="42"/>
    </row>
    <row r="921" spans="2:38" x14ac:dyDescent="0.25">
      <c r="B921" s="327"/>
      <c r="C921" s="327"/>
      <c r="D921" s="327"/>
      <c r="E921" s="327"/>
      <c r="F921" s="327"/>
      <c r="G921" s="327"/>
      <c r="H921" s="312"/>
      <c r="I921" s="327"/>
      <c r="J921" s="327"/>
      <c r="K921" s="334"/>
      <c r="L921" s="322"/>
      <c r="M921" s="322"/>
      <c r="N921" s="327"/>
      <c r="O921" s="327"/>
      <c r="P921" s="331"/>
      <c r="Q921" s="327"/>
      <c r="R921" s="276"/>
      <c r="S921" s="322"/>
      <c r="T921" s="322"/>
      <c r="U921" s="327"/>
      <c r="V921" s="335"/>
      <c r="W921" s="327"/>
      <c r="X921" s="327"/>
      <c r="Y921" s="327"/>
      <c r="Z921" s="107"/>
      <c r="AA921" s="335"/>
      <c r="AB921" s="335"/>
      <c r="AC921" s="327"/>
      <c r="AD921" s="327"/>
      <c r="AE921" s="327"/>
      <c r="AF921" s="327"/>
      <c r="AG921" s="327"/>
      <c r="AH921" s="327"/>
      <c r="AI921" s="327"/>
      <c r="AJ921" s="327"/>
      <c r="AK921" s="336"/>
      <c r="AL921" s="42"/>
    </row>
    <row r="922" spans="2:38" x14ac:dyDescent="0.25">
      <c r="B922" s="327"/>
      <c r="C922" s="327"/>
      <c r="D922" s="327"/>
      <c r="E922" s="327"/>
      <c r="F922" s="327"/>
      <c r="G922" s="327"/>
      <c r="H922" s="312"/>
      <c r="I922" s="327"/>
      <c r="J922" s="327"/>
      <c r="K922" s="334"/>
      <c r="L922" s="322"/>
      <c r="M922" s="322"/>
      <c r="N922" s="327"/>
      <c r="O922" s="327"/>
      <c r="P922" s="331"/>
      <c r="Q922" s="327"/>
      <c r="R922" s="276"/>
      <c r="S922" s="322"/>
      <c r="T922" s="322"/>
      <c r="U922" s="327"/>
      <c r="V922" s="335"/>
      <c r="W922" s="327"/>
      <c r="X922" s="327"/>
      <c r="Y922" s="327"/>
      <c r="Z922" s="107"/>
      <c r="AA922" s="335"/>
      <c r="AB922" s="335"/>
      <c r="AC922" s="327"/>
      <c r="AD922" s="327"/>
      <c r="AE922" s="327"/>
      <c r="AF922" s="327"/>
      <c r="AG922" s="327"/>
      <c r="AH922" s="327"/>
      <c r="AI922" s="327"/>
      <c r="AJ922" s="327"/>
      <c r="AK922" s="336"/>
      <c r="AL922" s="42"/>
    </row>
    <row r="923" spans="2:38" x14ac:dyDescent="0.25">
      <c r="B923" s="327"/>
      <c r="C923" s="327"/>
      <c r="D923" s="327"/>
      <c r="E923" s="327"/>
      <c r="F923" s="327"/>
      <c r="G923" s="327"/>
      <c r="H923" s="312"/>
      <c r="I923" s="327"/>
      <c r="J923" s="327"/>
      <c r="K923" s="334"/>
      <c r="L923" s="322"/>
      <c r="M923" s="322"/>
      <c r="N923" s="327"/>
      <c r="O923" s="327"/>
      <c r="P923" s="331"/>
      <c r="Q923" s="327"/>
      <c r="R923" s="276"/>
      <c r="S923" s="322"/>
      <c r="T923" s="322"/>
      <c r="U923" s="327"/>
      <c r="V923" s="335"/>
      <c r="W923" s="327"/>
      <c r="X923" s="327"/>
      <c r="Y923" s="327"/>
      <c r="Z923" s="107"/>
      <c r="AA923" s="335"/>
      <c r="AB923" s="335"/>
      <c r="AC923" s="327"/>
      <c r="AD923" s="327"/>
      <c r="AE923" s="327"/>
      <c r="AF923" s="327"/>
      <c r="AG923" s="327"/>
      <c r="AH923" s="327"/>
      <c r="AI923" s="327"/>
      <c r="AJ923" s="327"/>
      <c r="AK923" s="336"/>
      <c r="AL923" s="42"/>
    </row>
    <row r="924" spans="2:38" x14ac:dyDescent="0.25">
      <c r="B924" s="327"/>
      <c r="C924" s="327"/>
      <c r="D924" s="327"/>
      <c r="E924" s="327"/>
      <c r="F924" s="327"/>
      <c r="G924" s="327"/>
      <c r="H924" s="312"/>
      <c r="I924" s="327"/>
      <c r="J924" s="327"/>
      <c r="K924" s="334"/>
      <c r="L924" s="322"/>
      <c r="M924" s="322"/>
      <c r="N924" s="327"/>
      <c r="O924" s="327"/>
      <c r="P924" s="331"/>
      <c r="Q924" s="327"/>
      <c r="R924" s="276"/>
      <c r="S924" s="322"/>
      <c r="T924" s="322"/>
      <c r="U924" s="327"/>
      <c r="V924" s="335"/>
      <c r="W924" s="327"/>
      <c r="X924" s="327"/>
      <c r="Y924" s="327"/>
      <c r="Z924" s="107"/>
      <c r="AA924" s="335"/>
      <c r="AB924" s="335"/>
      <c r="AC924" s="327"/>
      <c r="AD924" s="327"/>
      <c r="AE924" s="327"/>
      <c r="AF924" s="327"/>
      <c r="AG924" s="327"/>
      <c r="AH924" s="327"/>
      <c r="AI924" s="327"/>
      <c r="AJ924" s="327"/>
      <c r="AK924" s="336"/>
      <c r="AL924" s="42"/>
    </row>
    <row r="925" spans="2:38" x14ac:dyDescent="0.25">
      <c r="B925" s="327"/>
      <c r="C925" s="327"/>
      <c r="D925" s="327"/>
      <c r="E925" s="327"/>
      <c r="F925" s="327"/>
      <c r="G925" s="327"/>
      <c r="H925" s="312"/>
      <c r="I925" s="327"/>
      <c r="J925" s="327"/>
      <c r="K925" s="334"/>
      <c r="L925" s="322"/>
      <c r="M925" s="322"/>
      <c r="N925" s="327"/>
      <c r="O925" s="327"/>
      <c r="P925" s="331"/>
      <c r="Q925" s="327"/>
      <c r="R925" s="276"/>
      <c r="S925" s="322"/>
      <c r="T925" s="322"/>
      <c r="U925" s="327"/>
      <c r="V925" s="335"/>
      <c r="W925" s="327"/>
      <c r="X925" s="327"/>
      <c r="Y925" s="327"/>
      <c r="Z925" s="107"/>
      <c r="AA925" s="335"/>
      <c r="AB925" s="335"/>
      <c r="AC925" s="327"/>
      <c r="AD925" s="327"/>
      <c r="AE925" s="327"/>
      <c r="AF925" s="327"/>
      <c r="AG925" s="327"/>
      <c r="AH925" s="327"/>
      <c r="AI925" s="327"/>
      <c r="AJ925" s="327"/>
      <c r="AK925" s="336"/>
      <c r="AL925" s="42"/>
    </row>
    <row r="926" spans="2:38" x14ac:dyDescent="0.25">
      <c r="B926" s="327"/>
      <c r="C926" s="327"/>
      <c r="D926" s="327"/>
      <c r="E926" s="327"/>
      <c r="F926" s="327"/>
      <c r="G926" s="327"/>
      <c r="H926" s="312"/>
      <c r="I926" s="327"/>
      <c r="J926" s="327"/>
      <c r="K926" s="334"/>
      <c r="L926" s="322"/>
      <c r="M926" s="322"/>
      <c r="N926" s="327"/>
      <c r="O926" s="327"/>
      <c r="P926" s="331"/>
      <c r="Q926" s="327"/>
      <c r="R926" s="276"/>
      <c r="S926" s="322"/>
      <c r="T926" s="322"/>
      <c r="U926" s="327"/>
      <c r="V926" s="335"/>
      <c r="W926" s="327"/>
      <c r="X926" s="327"/>
      <c r="Y926" s="327"/>
      <c r="Z926" s="107"/>
      <c r="AA926" s="335"/>
      <c r="AB926" s="335"/>
      <c r="AC926" s="327"/>
      <c r="AD926" s="327"/>
      <c r="AE926" s="327"/>
      <c r="AF926" s="327"/>
      <c r="AG926" s="327"/>
      <c r="AH926" s="327"/>
      <c r="AI926" s="327"/>
      <c r="AJ926" s="327"/>
      <c r="AK926" s="336"/>
      <c r="AL926" s="42"/>
    </row>
    <row r="927" spans="2:38" x14ac:dyDescent="0.25">
      <c r="B927" s="327"/>
      <c r="C927" s="327"/>
      <c r="D927" s="327"/>
      <c r="E927" s="327"/>
      <c r="F927" s="327"/>
      <c r="G927" s="327"/>
      <c r="H927" s="312"/>
      <c r="I927" s="327"/>
      <c r="J927" s="327"/>
      <c r="K927" s="334"/>
      <c r="L927" s="322"/>
      <c r="M927" s="322"/>
      <c r="N927" s="327"/>
      <c r="O927" s="327"/>
      <c r="P927" s="331"/>
      <c r="Q927" s="327"/>
      <c r="R927" s="276"/>
      <c r="S927" s="322"/>
      <c r="T927" s="322"/>
      <c r="U927" s="327"/>
      <c r="V927" s="335"/>
      <c r="W927" s="327"/>
      <c r="X927" s="327"/>
      <c r="Y927" s="327"/>
      <c r="Z927" s="107"/>
      <c r="AA927" s="335"/>
      <c r="AB927" s="335"/>
      <c r="AC927" s="327"/>
      <c r="AD927" s="327"/>
      <c r="AE927" s="327"/>
      <c r="AF927" s="327"/>
      <c r="AG927" s="327"/>
      <c r="AH927" s="327"/>
      <c r="AI927" s="327"/>
      <c r="AJ927" s="327"/>
      <c r="AK927" s="336"/>
      <c r="AL927" s="42"/>
    </row>
    <row r="928" spans="2:38" x14ac:dyDescent="0.25">
      <c r="B928" s="327"/>
      <c r="C928" s="327"/>
      <c r="D928" s="327"/>
      <c r="E928" s="327"/>
      <c r="F928" s="327"/>
      <c r="G928" s="327"/>
      <c r="H928" s="312"/>
      <c r="I928" s="327"/>
      <c r="J928" s="327"/>
      <c r="K928" s="334"/>
      <c r="L928" s="322"/>
      <c r="M928" s="322"/>
      <c r="N928" s="327"/>
      <c r="O928" s="327"/>
      <c r="P928" s="331"/>
      <c r="Q928" s="327"/>
      <c r="R928" s="276"/>
      <c r="S928" s="322"/>
      <c r="T928" s="322"/>
      <c r="U928" s="327"/>
      <c r="V928" s="335"/>
      <c r="W928" s="327"/>
      <c r="X928" s="327"/>
      <c r="Y928" s="327"/>
      <c r="Z928" s="107"/>
      <c r="AA928" s="335"/>
      <c r="AB928" s="335"/>
      <c r="AC928" s="327"/>
      <c r="AD928" s="327"/>
      <c r="AE928" s="327"/>
      <c r="AF928" s="327"/>
      <c r="AG928" s="327"/>
      <c r="AH928" s="327"/>
      <c r="AI928" s="327"/>
      <c r="AJ928" s="327"/>
      <c r="AK928" s="336"/>
      <c r="AL928" s="42"/>
    </row>
    <row r="929" spans="2:38" x14ac:dyDescent="0.25">
      <c r="B929" s="327"/>
      <c r="C929" s="327"/>
      <c r="D929" s="327"/>
      <c r="E929" s="327"/>
      <c r="F929" s="327"/>
      <c r="G929" s="327"/>
      <c r="H929" s="312"/>
      <c r="I929" s="327"/>
      <c r="J929" s="327"/>
      <c r="K929" s="334"/>
      <c r="L929" s="322"/>
      <c r="M929" s="322"/>
      <c r="N929" s="327"/>
      <c r="O929" s="327"/>
      <c r="P929" s="331"/>
      <c r="Q929" s="327"/>
      <c r="R929" s="276"/>
      <c r="S929" s="322"/>
      <c r="T929" s="322"/>
      <c r="U929" s="327"/>
      <c r="V929" s="335"/>
      <c r="W929" s="327"/>
      <c r="X929" s="327"/>
      <c r="Y929" s="327"/>
      <c r="Z929" s="107"/>
      <c r="AA929" s="335"/>
      <c r="AB929" s="335"/>
      <c r="AC929" s="327"/>
      <c r="AD929" s="327"/>
      <c r="AE929" s="327"/>
      <c r="AF929" s="327"/>
      <c r="AG929" s="327"/>
      <c r="AH929" s="327"/>
      <c r="AI929" s="327"/>
      <c r="AJ929" s="327"/>
      <c r="AK929" s="336"/>
      <c r="AL929" s="42"/>
    </row>
    <row r="930" spans="2:38" x14ac:dyDescent="0.25">
      <c r="B930" s="327"/>
      <c r="C930" s="327"/>
      <c r="D930" s="327"/>
      <c r="E930" s="327"/>
      <c r="F930" s="327"/>
      <c r="G930" s="327"/>
      <c r="H930" s="312"/>
      <c r="I930" s="327"/>
      <c r="J930" s="327"/>
      <c r="K930" s="334"/>
      <c r="L930" s="322"/>
      <c r="M930" s="322"/>
      <c r="N930" s="327"/>
      <c r="O930" s="327"/>
      <c r="P930" s="331"/>
      <c r="Q930" s="327"/>
      <c r="R930" s="276"/>
      <c r="S930" s="322"/>
      <c r="T930" s="322"/>
      <c r="U930" s="327"/>
      <c r="V930" s="335"/>
      <c r="W930" s="327"/>
      <c r="X930" s="327"/>
      <c r="Y930" s="327"/>
      <c r="Z930" s="107"/>
      <c r="AA930" s="335"/>
      <c r="AB930" s="335"/>
      <c r="AC930" s="327"/>
      <c r="AD930" s="327"/>
      <c r="AE930" s="327"/>
      <c r="AF930" s="327"/>
      <c r="AG930" s="327"/>
      <c r="AH930" s="327"/>
      <c r="AI930" s="327"/>
      <c r="AJ930" s="327"/>
      <c r="AK930" s="336"/>
      <c r="AL930" s="42"/>
    </row>
    <row r="931" spans="2:38" x14ac:dyDescent="0.25">
      <c r="B931" s="327"/>
      <c r="C931" s="327"/>
      <c r="D931" s="327"/>
      <c r="E931" s="327"/>
      <c r="F931" s="327"/>
      <c r="G931" s="327"/>
      <c r="H931" s="312"/>
      <c r="I931" s="327"/>
      <c r="J931" s="327"/>
      <c r="K931" s="334"/>
      <c r="L931" s="322"/>
      <c r="M931" s="322"/>
      <c r="N931" s="327"/>
      <c r="O931" s="327"/>
      <c r="P931" s="331"/>
      <c r="Q931" s="327"/>
      <c r="R931" s="276"/>
      <c r="S931" s="322"/>
      <c r="T931" s="322"/>
      <c r="U931" s="327"/>
      <c r="V931" s="335"/>
      <c r="W931" s="327"/>
      <c r="X931" s="327"/>
      <c r="Y931" s="327"/>
      <c r="Z931" s="107"/>
      <c r="AA931" s="335"/>
      <c r="AB931" s="335"/>
      <c r="AC931" s="327"/>
      <c r="AD931" s="327"/>
      <c r="AE931" s="327"/>
      <c r="AF931" s="327"/>
      <c r="AG931" s="327"/>
      <c r="AH931" s="327"/>
      <c r="AI931" s="327"/>
      <c r="AJ931" s="327"/>
      <c r="AK931" s="336"/>
      <c r="AL931" s="42"/>
    </row>
    <row r="932" spans="2:38" x14ac:dyDescent="0.25">
      <c r="B932" s="327"/>
      <c r="C932" s="327"/>
      <c r="D932" s="327"/>
      <c r="E932" s="327"/>
      <c r="F932" s="327"/>
      <c r="G932" s="327"/>
      <c r="H932" s="312"/>
      <c r="I932" s="327"/>
      <c r="J932" s="327"/>
      <c r="K932" s="334"/>
      <c r="L932" s="322"/>
      <c r="M932" s="322"/>
      <c r="N932" s="327"/>
      <c r="O932" s="327"/>
      <c r="P932" s="331"/>
      <c r="Q932" s="327"/>
      <c r="R932" s="276"/>
      <c r="S932" s="322"/>
      <c r="T932" s="322"/>
      <c r="U932" s="327"/>
      <c r="V932" s="335"/>
      <c r="W932" s="327"/>
      <c r="X932" s="327"/>
      <c r="Y932" s="327"/>
      <c r="Z932" s="107"/>
      <c r="AA932" s="335"/>
      <c r="AB932" s="335"/>
      <c r="AC932" s="327"/>
      <c r="AD932" s="327"/>
      <c r="AE932" s="327"/>
      <c r="AF932" s="327"/>
      <c r="AG932" s="327"/>
      <c r="AH932" s="327"/>
      <c r="AI932" s="327"/>
      <c r="AJ932" s="327"/>
      <c r="AK932" s="336"/>
      <c r="AL932" s="42"/>
    </row>
    <row r="933" spans="2:38" x14ac:dyDescent="0.25">
      <c r="B933" s="327"/>
      <c r="C933" s="327"/>
      <c r="D933" s="327"/>
      <c r="E933" s="327"/>
      <c r="F933" s="327"/>
      <c r="G933" s="327"/>
      <c r="H933" s="312"/>
      <c r="I933" s="327"/>
      <c r="J933" s="327"/>
      <c r="K933" s="334"/>
      <c r="L933" s="322"/>
      <c r="M933" s="322"/>
      <c r="N933" s="327"/>
      <c r="O933" s="327"/>
      <c r="P933" s="331"/>
      <c r="Q933" s="327"/>
      <c r="R933" s="276"/>
      <c r="S933" s="322"/>
      <c r="T933" s="322"/>
      <c r="U933" s="327"/>
      <c r="V933" s="335"/>
      <c r="W933" s="327"/>
      <c r="X933" s="327"/>
      <c r="Y933" s="327"/>
      <c r="Z933" s="107"/>
      <c r="AA933" s="335"/>
      <c r="AB933" s="335"/>
      <c r="AC933" s="327"/>
      <c r="AD933" s="327"/>
      <c r="AE933" s="327"/>
      <c r="AF933" s="327"/>
      <c r="AG933" s="327"/>
      <c r="AH933" s="327"/>
      <c r="AI933" s="327"/>
      <c r="AJ933" s="327"/>
      <c r="AK933" s="336"/>
      <c r="AL933" s="42"/>
    </row>
    <row r="934" spans="2:38" x14ac:dyDescent="0.25">
      <c r="B934" s="327"/>
      <c r="C934" s="327"/>
      <c r="D934" s="327"/>
      <c r="E934" s="327"/>
      <c r="F934" s="327"/>
      <c r="G934" s="327"/>
      <c r="H934" s="312"/>
      <c r="I934" s="327"/>
      <c r="J934" s="327"/>
      <c r="K934" s="334"/>
      <c r="L934" s="322"/>
      <c r="M934" s="322"/>
      <c r="N934" s="327"/>
      <c r="O934" s="327"/>
      <c r="P934" s="331"/>
      <c r="Q934" s="327"/>
      <c r="R934" s="276"/>
      <c r="S934" s="322"/>
      <c r="T934" s="322"/>
      <c r="U934" s="327"/>
      <c r="V934" s="335"/>
      <c r="W934" s="327"/>
      <c r="X934" s="327"/>
      <c r="Y934" s="327"/>
      <c r="Z934" s="107"/>
      <c r="AA934" s="335"/>
      <c r="AB934" s="335"/>
      <c r="AC934" s="327"/>
      <c r="AD934" s="327"/>
      <c r="AE934" s="327"/>
      <c r="AF934" s="327"/>
      <c r="AG934" s="327"/>
      <c r="AH934" s="327"/>
      <c r="AI934" s="327"/>
      <c r="AJ934" s="327"/>
      <c r="AK934" s="336"/>
      <c r="AL934" s="42"/>
    </row>
    <row r="935" spans="2:38" x14ac:dyDescent="0.25">
      <c r="B935" s="327"/>
      <c r="C935" s="327"/>
      <c r="D935" s="327"/>
      <c r="E935" s="327"/>
      <c r="F935" s="327"/>
      <c r="G935" s="327"/>
      <c r="H935" s="312"/>
      <c r="I935" s="327"/>
      <c r="J935" s="327"/>
      <c r="K935" s="334"/>
      <c r="L935" s="322"/>
      <c r="M935" s="322"/>
      <c r="N935" s="327"/>
      <c r="O935" s="327"/>
      <c r="P935" s="331"/>
      <c r="Q935" s="327"/>
      <c r="R935" s="276"/>
      <c r="S935" s="322"/>
      <c r="T935" s="322"/>
      <c r="U935" s="327"/>
      <c r="V935" s="335"/>
      <c r="W935" s="327"/>
      <c r="X935" s="327"/>
      <c r="Y935" s="327"/>
      <c r="Z935" s="107"/>
      <c r="AA935" s="335"/>
      <c r="AB935" s="335"/>
      <c r="AC935" s="327"/>
      <c r="AD935" s="327"/>
      <c r="AE935" s="327"/>
      <c r="AF935" s="327"/>
      <c r="AG935" s="327"/>
      <c r="AH935" s="327"/>
      <c r="AI935" s="327"/>
      <c r="AJ935" s="327"/>
      <c r="AK935" s="336"/>
      <c r="AL935" s="42"/>
    </row>
    <row r="936" spans="2:38" x14ac:dyDescent="0.25">
      <c r="B936" s="327"/>
      <c r="C936" s="327"/>
      <c r="D936" s="327"/>
      <c r="E936" s="327"/>
      <c r="F936" s="327"/>
      <c r="G936" s="327"/>
      <c r="H936" s="312"/>
      <c r="I936" s="327"/>
      <c r="J936" s="327"/>
      <c r="K936" s="334"/>
      <c r="L936" s="322"/>
      <c r="M936" s="322"/>
      <c r="N936" s="327"/>
      <c r="O936" s="327"/>
      <c r="P936" s="331"/>
      <c r="Q936" s="327"/>
      <c r="R936" s="276"/>
      <c r="S936" s="322"/>
      <c r="T936" s="322"/>
      <c r="U936" s="327"/>
      <c r="V936" s="335"/>
      <c r="W936" s="327"/>
      <c r="X936" s="327"/>
      <c r="Y936" s="327"/>
      <c r="Z936" s="107"/>
      <c r="AA936" s="335"/>
      <c r="AB936" s="335"/>
      <c r="AC936" s="327"/>
      <c r="AD936" s="327"/>
      <c r="AE936" s="327"/>
      <c r="AF936" s="327"/>
      <c r="AG936" s="327"/>
      <c r="AH936" s="327"/>
      <c r="AI936" s="327"/>
      <c r="AJ936" s="327"/>
      <c r="AK936" s="336"/>
      <c r="AL936" s="42"/>
    </row>
    <row r="937" spans="2:38" x14ac:dyDescent="0.25">
      <c r="B937" s="327"/>
      <c r="C937" s="327"/>
      <c r="D937" s="327"/>
      <c r="E937" s="327"/>
      <c r="F937" s="327"/>
      <c r="G937" s="327"/>
      <c r="H937" s="312"/>
      <c r="I937" s="327"/>
      <c r="J937" s="327"/>
      <c r="K937" s="334"/>
      <c r="L937" s="322"/>
      <c r="M937" s="322"/>
      <c r="N937" s="327"/>
      <c r="O937" s="327"/>
      <c r="P937" s="331"/>
      <c r="Q937" s="327"/>
      <c r="R937" s="276"/>
      <c r="S937" s="322"/>
      <c r="T937" s="322"/>
      <c r="U937" s="327"/>
      <c r="V937" s="335"/>
      <c r="W937" s="327"/>
      <c r="X937" s="327"/>
      <c r="Y937" s="327"/>
      <c r="Z937" s="107"/>
      <c r="AA937" s="335"/>
      <c r="AB937" s="335"/>
      <c r="AC937" s="327"/>
      <c r="AD937" s="327"/>
      <c r="AE937" s="327"/>
      <c r="AF937" s="327"/>
      <c r="AG937" s="327"/>
      <c r="AH937" s="327"/>
      <c r="AI937" s="327"/>
      <c r="AJ937" s="327"/>
      <c r="AK937" s="336"/>
      <c r="AL937" s="42"/>
    </row>
    <row r="938" spans="2:38" x14ac:dyDescent="0.25">
      <c r="B938" s="327"/>
      <c r="C938" s="327"/>
      <c r="D938" s="327"/>
      <c r="E938" s="327"/>
      <c r="F938" s="327"/>
      <c r="G938" s="327"/>
      <c r="H938" s="312"/>
      <c r="I938" s="327"/>
      <c r="J938" s="327"/>
      <c r="K938" s="334"/>
      <c r="L938" s="322"/>
      <c r="M938" s="322"/>
      <c r="N938" s="327"/>
      <c r="O938" s="327"/>
      <c r="P938" s="331"/>
      <c r="Q938" s="327"/>
      <c r="R938" s="276"/>
      <c r="S938" s="322"/>
      <c r="T938" s="322"/>
      <c r="U938" s="327"/>
      <c r="V938" s="335"/>
      <c r="W938" s="327"/>
      <c r="X938" s="327"/>
      <c r="Y938" s="327"/>
      <c r="Z938" s="107"/>
      <c r="AA938" s="335"/>
      <c r="AB938" s="335"/>
      <c r="AC938" s="327"/>
      <c r="AD938" s="327"/>
      <c r="AE938" s="327"/>
      <c r="AF938" s="327"/>
      <c r="AG938" s="327"/>
      <c r="AH938" s="327"/>
      <c r="AI938" s="327"/>
      <c r="AJ938" s="327"/>
      <c r="AK938" s="336"/>
      <c r="AL938" s="42"/>
    </row>
    <row r="939" spans="2:38" x14ac:dyDescent="0.25">
      <c r="B939" s="327"/>
      <c r="C939" s="327"/>
      <c r="D939" s="327"/>
      <c r="E939" s="327"/>
      <c r="F939" s="327"/>
      <c r="G939" s="327"/>
      <c r="H939" s="312"/>
      <c r="I939" s="327"/>
      <c r="J939" s="327"/>
      <c r="K939" s="334"/>
      <c r="L939" s="322"/>
      <c r="M939" s="322"/>
      <c r="N939" s="327"/>
      <c r="O939" s="327"/>
      <c r="P939" s="331"/>
      <c r="Q939" s="327"/>
      <c r="R939" s="276"/>
      <c r="S939" s="322"/>
      <c r="T939" s="322"/>
      <c r="U939" s="327"/>
      <c r="V939" s="335"/>
      <c r="W939" s="327"/>
      <c r="X939" s="327"/>
      <c r="Y939" s="327"/>
      <c r="Z939" s="107"/>
      <c r="AA939" s="335"/>
      <c r="AB939" s="335"/>
      <c r="AC939" s="327"/>
      <c r="AD939" s="327"/>
      <c r="AE939" s="327"/>
      <c r="AF939" s="327"/>
      <c r="AG939" s="327"/>
      <c r="AH939" s="327"/>
      <c r="AI939" s="327"/>
      <c r="AJ939" s="327"/>
      <c r="AK939" s="336"/>
      <c r="AL939" s="42"/>
    </row>
    <row r="940" spans="2:38" x14ac:dyDescent="0.25">
      <c r="B940" s="327"/>
      <c r="C940" s="327"/>
      <c r="D940" s="327"/>
      <c r="E940" s="327"/>
      <c r="F940" s="327"/>
      <c r="G940" s="327"/>
      <c r="H940" s="312"/>
      <c r="I940" s="327"/>
      <c r="J940" s="327"/>
      <c r="K940" s="334"/>
      <c r="L940" s="322"/>
      <c r="M940" s="322"/>
      <c r="N940" s="327"/>
      <c r="O940" s="327"/>
      <c r="P940" s="331"/>
      <c r="Q940" s="327"/>
      <c r="R940" s="276"/>
      <c r="S940" s="322"/>
      <c r="T940" s="322"/>
      <c r="U940" s="327"/>
      <c r="V940" s="335"/>
      <c r="W940" s="327"/>
      <c r="X940" s="327"/>
      <c r="Y940" s="327"/>
      <c r="Z940" s="107"/>
      <c r="AA940" s="335"/>
      <c r="AB940" s="335"/>
      <c r="AC940" s="327"/>
      <c r="AD940" s="327"/>
      <c r="AE940" s="327"/>
      <c r="AF940" s="327"/>
      <c r="AG940" s="327"/>
      <c r="AH940" s="327"/>
      <c r="AI940" s="327"/>
      <c r="AJ940" s="327"/>
      <c r="AK940" s="336"/>
      <c r="AL940" s="42"/>
    </row>
    <row r="941" spans="2:38" x14ac:dyDescent="0.25">
      <c r="B941" s="327"/>
      <c r="C941" s="327"/>
      <c r="D941" s="327"/>
      <c r="E941" s="327"/>
      <c r="F941" s="327"/>
      <c r="G941" s="327"/>
      <c r="H941" s="312"/>
      <c r="I941" s="327"/>
      <c r="J941" s="327"/>
      <c r="K941" s="334"/>
      <c r="L941" s="322"/>
      <c r="M941" s="322"/>
      <c r="N941" s="327"/>
      <c r="O941" s="327"/>
      <c r="P941" s="331"/>
      <c r="Q941" s="327"/>
      <c r="R941" s="276"/>
      <c r="S941" s="322"/>
      <c r="T941" s="322"/>
      <c r="U941" s="327"/>
      <c r="V941" s="335"/>
      <c r="W941" s="327"/>
      <c r="X941" s="327"/>
      <c r="Y941" s="327"/>
      <c r="Z941" s="107"/>
      <c r="AA941" s="335"/>
      <c r="AB941" s="335"/>
      <c r="AC941" s="327"/>
      <c r="AD941" s="327"/>
      <c r="AE941" s="327"/>
      <c r="AF941" s="327"/>
      <c r="AG941" s="327"/>
      <c r="AH941" s="327"/>
      <c r="AI941" s="327"/>
      <c r="AJ941" s="327"/>
      <c r="AK941" s="336"/>
      <c r="AL941" s="42"/>
    </row>
    <row r="942" spans="2:38" x14ac:dyDescent="0.25">
      <c r="B942" s="327"/>
      <c r="C942" s="327"/>
      <c r="D942" s="327"/>
      <c r="E942" s="327"/>
      <c r="F942" s="327"/>
      <c r="G942" s="327"/>
      <c r="H942" s="312"/>
      <c r="I942" s="327"/>
      <c r="J942" s="327"/>
      <c r="K942" s="334"/>
      <c r="L942" s="322"/>
      <c r="M942" s="322"/>
      <c r="N942" s="327"/>
      <c r="O942" s="327"/>
      <c r="P942" s="331"/>
      <c r="Q942" s="327"/>
      <c r="R942" s="276"/>
      <c r="S942" s="322"/>
      <c r="T942" s="322"/>
      <c r="U942" s="327"/>
      <c r="V942" s="335"/>
      <c r="W942" s="327"/>
      <c r="X942" s="327"/>
      <c r="Y942" s="327"/>
      <c r="Z942" s="107"/>
      <c r="AA942" s="335"/>
      <c r="AB942" s="335"/>
      <c r="AC942" s="327"/>
      <c r="AD942" s="327"/>
      <c r="AE942" s="327"/>
      <c r="AF942" s="327"/>
      <c r="AG942" s="327"/>
      <c r="AH942" s="327"/>
      <c r="AI942" s="327"/>
      <c r="AJ942" s="327"/>
      <c r="AK942" s="336"/>
      <c r="AL942" s="42"/>
    </row>
    <row r="943" spans="2:38" x14ac:dyDescent="0.25">
      <c r="B943" s="327"/>
      <c r="C943" s="327"/>
      <c r="D943" s="327"/>
      <c r="E943" s="327"/>
      <c r="F943" s="327"/>
      <c r="G943" s="327"/>
      <c r="H943" s="312"/>
      <c r="I943" s="327"/>
      <c r="J943" s="327"/>
      <c r="K943" s="334"/>
      <c r="L943" s="322"/>
      <c r="M943" s="322"/>
      <c r="N943" s="327"/>
      <c r="O943" s="327"/>
      <c r="P943" s="331"/>
      <c r="Q943" s="327"/>
      <c r="R943" s="276"/>
      <c r="S943" s="322"/>
      <c r="T943" s="322"/>
      <c r="U943" s="327"/>
      <c r="V943" s="335"/>
      <c r="W943" s="327"/>
      <c r="X943" s="327"/>
      <c r="Y943" s="327"/>
      <c r="Z943" s="107"/>
      <c r="AA943" s="335"/>
      <c r="AB943" s="335"/>
      <c r="AC943" s="327"/>
      <c r="AD943" s="327"/>
      <c r="AE943" s="327"/>
      <c r="AF943" s="327"/>
      <c r="AG943" s="327"/>
      <c r="AH943" s="327"/>
      <c r="AI943" s="327"/>
      <c r="AJ943" s="327"/>
      <c r="AK943" s="336"/>
      <c r="AL943" s="42"/>
    </row>
    <row r="944" spans="2:38" x14ac:dyDescent="0.25">
      <c r="B944" s="327"/>
      <c r="C944" s="327"/>
      <c r="D944" s="327"/>
      <c r="E944" s="327"/>
      <c r="F944" s="327"/>
      <c r="G944" s="327"/>
      <c r="H944" s="312"/>
      <c r="I944" s="327"/>
      <c r="J944" s="327"/>
      <c r="K944" s="334"/>
      <c r="L944" s="322"/>
      <c r="M944" s="322"/>
      <c r="N944" s="327"/>
      <c r="O944" s="327"/>
      <c r="P944" s="331"/>
      <c r="Q944" s="327"/>
      <c r="R944" s="276"/>
      <c r="S944" s="322"/>
      <c r="T944" s="322"/>
      <c r="U944" s="327"/>
      <c r="V944" s="335"/>
      <c r="W944" s="327"/>
      <c r="X944" s="327"/>
      <c r="Y944" s="327"/>
      <c r="Z944" s="107"/>
      <c r="AA944" s="335"/>
      <c r="AB944" s="335"/>
      <c r="AC944" s="327"/>
      <c r="AD944" s="327"/>
      <c r="AE944" s="327"/>
      <c r="AF944" s="327"/>
      <c r="AG944" s="327"/>
      <c r="AH944" s="327"/>
      <c r="AI944" s="327"/>
      <c r="AJ944" s="327"/>
      <c r="AK944" s="336"/>
      <c r="AL944" s="42"/>
    </row>
    <row r="945" spans="2:38" x14ac:dyDescent="0.25">
      <c r="B945" s="327"/>
      <c r="C945" s="327"/>
      <c r="D945" s="327"/>
      <c r="E945" s="327"/>
      <c r="F945" s="327"/>
      <c r="G945" s="327"/>
      <c r="H945" s="312"/>
      <c r="I945" s="327"/>
      <c r="J945" s="327"/>
      <c r="K945" s="334"/>
      <c r="L945" s="322"/>
      <c r="M945" s="322"/>
      <c r="N945" s="327"/>
      <c r="O945" s="327"/>
      <c r="P945" s="331"/>
      <c r="Q945" s="327"/>
      <c r="R945" s="276"/>
      <c r="S945" s="322"/>
      <c r="T945" s="322"/>
      <c r="U945" s="327"/>
      <c r="V945" s="335"/>
      <c r="W945" s="327"/>
      <c r="X945" s="327"/>
      <c r="Y945" s="327"/>
      <c r="Z945" s="107"/>
      <c r="AA945" s="335"/>
      <c r="AB945" s="335"/>
      <c r="AC945" s="327"/>
      <c r="AD945" s="327"/>
      <c r="AE945" s="327"/>
      <c r="AF945" s="327"/>
      <c r="AG945" s="327"/>
      <c r="AH945" s="327"/>
      <c r="AI945" s="327"/>
      <c r="AJ945" s="327"/>
      <c r="AK945" s="336"/>
      <c r="AL945" s="42"/>
    </row>
    <row r="946" spans="2:38" x14ac:dyDescent="0.25">
      <c r="B946" s="327"/>
      <c r="C946" s="327"/>
      <c r="D946" s="327"/>
      <c r="E946" s="327"/>
      <c r="F946" s="327"/>
      <c r="G946" s="327"/>
      <c r="H946" s="312"/>
      <c r="I946" s="327"/>
      <c r="J946" s="327"/>
      <c r="K946" s="334"/>
      <c r="L946" s="322"/>
      <c r="M946" s="322"/>
      <c r="N946" s="327"/>
      <c r="O946" s="327"/>
      <c r="P946" s="331"/>
      <c r="Q946" s="327"/>
      <c r="R946" s="276"/>
      <c r="S946" s="322"/>
      <c r="T946" s="322"/>
      <c r="U946" s="327"/>
      <c r="V946" s="335"/>
      <c r="W946" s="327"/>
      <c r="X946" s="327"/>
      <c r="Y946" s="327"/>
      <c r="Z946" s="107"/>
      <c r="AA946" s="335"/>
      <c r="AB946" s="335"/>
      <c r="AC946" s="327"/>
      <c r="AD946" s="327"/>
      <c r="AE946" s="327"/>
      <c r="AF946" s="327"/>
      <c r="AG946" s="327"/>
      <c r="AH946" s="327"/>
      <c r="AI946" s="327"/>
      <c r="AJ946" s="327"/>
      <c r="AK946" s="336"/>
      <c r="AL946" s="42"/>
    </row>
    <row r="947" spans="2:38" x14ac:dyDescent="0.25">
      <c r="B947" s="327"/>
      <c r="C947" s="327"/>
      <c r="D947" s="327"/>
      <c r="E947" s="327"/>
      <c r="F947" s="327"/>
      <c r="G947" s="327"/>
      <c r="H947" s="312"/>
      <c r="I947" s="327"/>
      <c r="J947" s="327"/>
      <c r="K947" s="334"/>
      <c r="L947" s="322"/>
      <c r="M947" s="322"/>
      <c r="N947" s="327"/>
      <c r="O947" s="327"/>
      <c r="P947" s="331"/>
      <c r="Q947" s="327"/>
      <c r="R947" s="276"/>
      <c r="S947" s="322"/>
      <c r="T947" s="322"/>
      <c r="U947" s="327"/>
      <c r="V947" s="335"/>
      <c r="W947" s="327"/>
      <c r="X947" s="327"/>
      <c r="Y947" s="327"/>
      <c r="Z947" s="107"/>
      <c r="AA947" s="335"/>
      <c r="AB947" s="335"/>
      <c r="AC947" s="327"/>
      <c r="AD947" s="327"/>
      <c r="AE947" s="327"/>
      <c r="AF947" s="327"/>
      <c r="AG947" s="327"/>
      <c r="AH947" s="327"/>
      <c r="AI947" s="327"/>
      <c r="AJ947" s="327"/>
      <c r="AK947" s="336"/>
      <c r="AL947" s="42"/>
    </row>
    <row r="948" spans="2:38" x14ac:dyDescent="0.25">
      <c r="B948" s="327"/>
      <c r="C948" s="327"/>
      <c r="D948" s="327"/>
      <c r="E948" s="327"/>
      <c r="F948" s="327"/>
      <c r="G948" s="327"/>
      <c r="H948" s="312"/>
      <c r="I948" s="327"/>
      <c r="J948" s="327"/>
      <c r="K948" s="334"/>
      <c r="L948" s="322"/>
      <c r="M948" s="322"/>
      <c r="N948" s="327"/>
      <c r="O948" s="327"/>
      <c r="P948" s="331"/>
      <c r="Q948" s="327"/>
      <c r="R948" s="276"/>
      <c r="S948" s="322"/>
      <c r="T948" s="322"/>
      <c r="U948" s="327"/>
      <c r="V948" s="335"/>
      <c r="W948" s="327"/>
      <c r="X948" s="327"/>
      <c r="Y948" s="327"/>
      <c r="Z948" s="107"/>
      <c r="AA948" s="335"/>
      <c r="AB948" s="335"/>
      <c r="AC948" s="327"/>
      <c r="AD948" s="327"/>
      <c r="AE948" s="327"/>
      <c r="AF948" s="327"/>
      <c r="AG948" s="327"/>
      <c r="AH948" s="327"/>
      <c r="AI948" s="327"/>
      <c r="AJ948" s="327"/>
      <c r="AK948" s="336"/>
      <c r="AL948" s="42"/>
    </row>
    <row r="949" spans="2:38" x14ac:dyDescent="0.25">
      <c r="B949" s="327"/>
      <c r="C949" s="327"/>
      <c r="D949" s="327"/>
      <c r="E949" s="327"/>
      <c r="F949" s="327"/>
      <c r="G949" s="327"/>
      <c r="H949" s="312"/>
      <c r="I949" s="327"/>
      <c r="J949" s="327"/>
      <c r="K949" s="334"/>
      <c r="L949" s="322"/>
      <c r="M949" s="322"/>
      <c r="N949" s="327"/>
      <c r="O949" s="327"/>
      <c r="P949" s="331"/>
      <c r="Q949" s="327"/>
      <c r="R949" s="276"/>
      <c r="S949" s="322"/>
      <c r="T949" s="322"/>
      <c r="U949" s="327"/>
      <c r="V949" s="335"/>
      <c r="W949" s="327"/>
      <c r="X949" s="327"/>
      <c r="Y949" s="327"/>
      <c r="Z949" s="107"/>
      <c r="AA949" s="335"/>
      <c r="AB949" s="335"/>
      <c r="AC949" s="327"/>
      <c r="AD949" s="327"/>
      <c r="AE949" s="327"/>
      <c r="AF949" s="327"/>
      <c r="AG949" s="327"/>
      <c r="AH949" s="327"/>
      <c r="AI949" s="327"/>
      <c r="AJ949" s="327"/>
      <c r="AK949" s="336"/>
      <c r="AL949" s="42"/>
    </row>
    <row r="950" spans="2:38" x14ac:dyDescent="0.25">
      <c r="B950" s="327"/>
      <c r="C950" s="327"/>
      <c r="D950" s="327"/>
      <c r="E950" s="327"/>
      <c r="F950" s="327"/>
      <c r="G950" s="327"/>
      <c r="H950" s="312"/>
      <c r="I950" s="327"/>
      <c r="J950" s="327"/>
      <c r="K950" s="334"/>
      <c r="L950" s="322"/>
      <c r="M950" s="322"/>
      <c r="N950" s="327"/>
      <c r="O950" s="327"/>
      <c r="P950" s="331"/>
      <c r="Q950" s="327"/>
      <c r="R950" s="276"/>
      <c r="S950" s="322"/>
      <c r="T950" s="322"/>
      <c r="U950" s="327"/>
      <c r="V950" s="335"/>
      <c r="W950" s="327"/>
      <c r="X950" s="327"/>
      <c r="Y950" s="327"/>
      <c r="Z950" s="107"/>
      <c r="AA950" s="335"/>
      <c r="AB950" s="335"/>
      <c r="AC950" s="327"/>
      <c r="AD950" s="327"/>
      <c r="AE950" s="327"/>
      <c r="AF950" s="327"/>
      <c r="AG950" s="327"/>
      <c r="AH950" s="327"/>
      <c r="AI950" s="327"/>
      <c r="AJ950" s="327"/>
      <c r="AK950" s="336"/>
      <c r="AL950" s="42"/>
    </row>
    <row r="951" spans="2:38" x14ac:dyDescent="0.25">
      <c r="B951" s="327"/>
      <c r="C951" s="327"/>
      <c r="D951" s="327"/>
      <c r="E951" s="327"/>
      <c r="F951" s="327"/>
      <c r="G951" s="327"/>
      <c r="H951" s="312"/>
      <c r="I951" s="327"/>
      <c r="J951" s="327"/>
      <c r="K951" s="334"/>
      <c r="L951" s="322"/>
      <c r="M951" s="322"/>
      <c r="N951" s="327"/>
      <c r="O951" s="327"/>
      <c r="P951" s="331"/>
      <c r="Q951" s="327"/>
      <c r="R951" s="276"/>
      <c r="S951" s="322"/>
      <c r="T951" s="322"/>
      <c r="U951" s="327"/>
      <c r="V951" s="335"/>
      <c r="W951" s="327"/>
      <c r="X951" s="327"/>
      <c r="Y951" s="327"/>
      <c r="Z951" s="107"/>
      <c r="AA951" s="335"/>
      <c r="AB951" s="335"/>
      <c r="AC951" s="327"/>
      <c r="AD951" s="327"/>
      <c r="AE951" s="327"/>
      <c r="AF951" s="327"/>
      <c r="AG951" s="327"/>
      <c r="AH951" s="327"/>
      <c r="AI951" s="327"/>
      <c r="AJ951" s="327"/>
      <c r="AK951" s="336"/>
      <c r="AL951" s="42"/>
    </row>
    <row r="952" spans="2:38" x14ac:dyDescent="0.25">
      <c r="B952" s="327"/>
      <c r="C952" s="327"/>
      <c r="D952" s="327"/>
      <c r="E952" s="327"/>
      <c r="F952" s="327"/>
      <c r="G952" s="327"/>
      <c r="H952" s="312"/>
      <c r="I952" s="327"/>
      <c r="J952" s="327"/>
      <c r="K952" s="334"/>
      <c r="L952" s="322"/>
      <c r="M952" s="322"/>
      <c r="N952" s="327"/>
      <c r="O952" s="327"/>
      <c r="P952" s="331"/>
      <c r="Q952" s="327"/>
      <c r="R952" s="276"/>
      <c r="S952" s="322"/>
      <c r="T952" s="322"/>
      <c r="U952" s="327"/>
      <c r="V952" s="335"/>
      <c r="W952" s="327"/>
      <c r="X952" s="327"/>
      <c r="Y952" s="327"/>
      <c r="Z952" s="107"/>
      <c r="AA952" s="335"/>
      <c r="AB952" s="335"/>
      <c r="AC952" s="327"/>
      <c r="AD952" s="327"/>
      <c r="AE952" s="327"/>
      <c r="AF952" s="327"/>
      <c r="AG952" s="327"/>
      <c r="AH952" s="327"/>
      <c r="AI952" s="327"/>
      <c r="AJ952" s="327"/>
      <c r="AK952" s="336"/>
      <c r="AL952" s="42"/>
    </row>
    <row r="953" spans="2:38" x14ac:dyDescent="0.25">
      <c r="B953" s="327"/>
      <c r="C953" s="327"/>
      <c r="D953" s="327"/>
      <c r="E953" s="327"/>
      <c r="F953" s="327"/>
      <c r="G953" s="327"/>
      <c r="H953" s="312"/>
      <c r="I953" s="327"/>
      <c r="J953" s="327"/>
      <c r="K953" s="334"/>
      <c r="L953" s="322"/>
      <c r="M953" s="322"/>
      <c r="N953" s="327"/>
      <c r="O953" s="327"/>
      <c r="P953" s="331"/>
      <c r="Q953" s="327"/>
      <c r="R953" s="276"/>
      <c r="S953" s="322"/>
      <c r="T953" s="322"/>
      <c r="U953" s="327"/>
      <c r="V953" s="335"/>
      <c r="W953" s="327"/>
      <c r="X953" s="327"/>
      <c r="Y953" s="327"/>
      <c r="Z953" s="107"/>
      <c r="AA953" s="335"/>
      <c r="AB953" s="335"/>
      <c r="AC953" s="327"/>
      <c r="AD953" s="327"/>
      <c r="AE953" s="327"/>
      <c r="AF953" s="327"/>
      <c r="AG953" s="327"/>
      <c r="AH953" s="327"/>
      <c r="AI953" s="327"/>
      <c r="AJ953" s="327"/>
      <c r="AK953" s="336"/>
      <c r="AL953" s="42"/>
    </row>
    <row r="954" spans="2:38" x14ac:dyDescent="0.25">
      <c r="B954" s="327"/>
      <c r="C954" s="327"/>
      <c r="D954" s="327"/>
      <c r="E954" s="327"/>
      <c r="F954" s="327"/>
      <c r="G954" s="327"/>
      <c r="H954" s="312"/>
      <c r="I954" s="327"/>
      <c r="J954" s="327"/>
      <c r="K954" s="334"/>
      <c r="L954" s="322"/>
      <c r="M954" s="322"/>
      <c r="N954" s="327"/>
      <c r="O954" s="327"/>
      <c r="P954" s="331"/>
      <c r="Q954" s="327"/>
      <c r="R954" s="276"/>
      <c r="S954" s="322"/>
      <c r="T954" s="322"/>
      <c r="U954" s="327"/>
      <c r="V954" s="335"/>
      <c r="W954" s="327"/>
      <c r="X954" s="327"/>
      <c r="Y954" s="327"/>
      <c r="Z954" s="107"/>
      <c r="AA954" s="335"/>
      <c r="AB954" s="335"/>
      <c r="AC954" s="327"/>
      <c r="AD954" s="327"/>
      <c r="AE954" s="327"/>
      <c r="AF954" s="327"/>
      <c r="AG954" s="327"/>
      <c r="AH954" s="327"/>
      <c r="AI954" s="327"/>
      <c r="AJ954" s="327"/>
      <c r="AK954" s="336"/>
      <c r="AL954" s="42"/>
    </row>
    <row r="955" spans="2:38" x14ac:dyDescent="0.25">
      <c r="B955" s="327"/>
      <c r="C955" s="327"/>
      <c r="D955" s="327"/>
      <c r="E955" s="327"/>
      <c r="F955" s="327"/>
      <c r="G955" s="327"/>
      <c r="H955" s="312"/>
      <c r="I955" s="327"/>
      <c r="J955" s="327"/>
      <c r="K955" s="334"/>
      <c r="L955" s="322"/>
      <c r="M955" s="322"/>
      <c r="N955" s="327"/>
      <c r="O955" s="327"/>
      <c r="P955" s="331"/>
      <c r="Q955" s="327"/>
      <c r="R955" s="276"/>
      <c r="S955" s="322"/>
      <c r="T955" s="322"/>
      <c r="U955" s="327"/>
      <c r="V955" s="335"/>
      <c r="W955" s="327"/>
      <c r="X955" s="327"/>
      <c r="Y955" s="327"/>
      <c r="Z955" s="107"/>
      <c r="AA955" s="335"/>
      <c r="AB955" s="335"/>
      <c r="AC955" s="327"/>
      <c r="AD955" s="327"/>
      <c r="AE955" s="327"/>
      <c r="AF955" s="327"/>
      <c r="AG955" s="327"/>
      <c r="AH955" s="327"/>
      <c r="AI955" s="327"/>
      <c r="AJ955" s="327"/>
      <c r="AK955" s="336"/>
      <c r="AL955" s="42"/>
    </row>
    <row r="956" spans="2:38" x14ac:dyDescent="0.25">
      <c r="B956" s="327"/>
      <c r="C956" s="327"/>
      <c r="D956" s="327"/>
      <c r="E956" s="327"/>
      <c r="F956" s="327"/>
      <c r="G956" s="327"/>
      <c r="H956" s="312"/>
      <c r="I956" s="327"/>
      <c r="J956" s="327"/>
      <c r="K956" s="334"/>
      <c r="L956" s="322"/>
      <c r="M956" s="322"/>
      <c r="N956" s="327"/>
      <c r="O956" s="327"/>
      <c r="P956" s="331"/>
      <c r="Q956" s="327"/>
      <c r="R956" s="276"/>
      <c r="S956" s="322"/>
      <c r="T956" s="322"/>
      <c r="U956" s="327"/>
      <c r="V956" s="335"/>
      <c r="W956" s="327"/>
      <c r="X956" s="327"/>
      <c r="Y956" s="327"/>
      <c r="Z956" s="107"/>
      <c r="AA956" s="335"/>
      <c r="AB956" s="335"/>
      <c r="AC956" s="327"/>
      <c r="AD956" s="327"/>
      <c r="AE956" s="327"/>
      <c r="AF956" s="327"/>
      <c r="AG956" s="327"/>
      <c r="AH956" s="327"/>
      <c r="AI956" s="327"/>
      <c r="AJ956" s="327"/>
      <c r="AK956" s="336"/>
      <c r="AL956" s="42"/>
    </row>
    <row r="957" spans="2:38" x14ac:dyDescent="0.25">
      <c r="B957" s="327"/>
      <c r="C957" s="327"/>
      <c r="D957" s="327"/>
      <c r="E957" s="327"/>
      <c r="F957" s="327"/>
      <c r="G957" s="327"/>
      <c r="H957" s="312"/>
      <c r="I957" s="327"/>
      <c r="J957" s="327"/>
      <c r="K957" s="334"/>
      <c r="L957" s="322"/>
      <c r="M957" s="322"/>
      <c r="N957" s="327"/>
      <c r="O957" s="327"/>
      <c r="P957" s="331"/>
      <c r="Q957" s="327"/>
      <c r="R957" s="276"/>
      <c r="S957" s="322"/>
      <c r="T957" s="322"/>
      <c r="U957" s="327"/>
      <c r="V957" s="335"/>
      <c r="W957" s="327"/>
      <c r="X957" s="327"/>
      <c r="Y957" s="327"/>
      <c r="Z957" s="107"/>
      <c r="AA957" s="335"/>
      <c r="AB957" s="335"/>
      <c r="AC957" s="327"/>
      <c r="AD957" s="327"/>
      <c r="AE957" s="327"/>
      <c r="AF957" s="327"/>
      <c r="AG957" s="327"/>
      <c r="AH957" s="327"/>
      <c r="AI957" s="327"/>
      <c r="AJ957" s="327"/>
      <c r="AK957" s="336"/>
      <c r="AL957" s="42"/>
    </row>
    <row r="958" spans="2:38" x14ac:dyDescent="0.25">
      <c r="B958" s="327"/>
      <c r="C958" s="327"/>
      <c r="D958" s="327"/>
      <c r="E958" s="327"/>
      <c r="F958" s="327"/>
      <c r="G958" s="327"/>
      <c r="H958" s="312"/>
      <c r="I958" s="327"/>
      <c r="J958" s="327"/>
      <c r="K958" s="334"/>
      <c r="L958" s="322"/>
      <c r="M958" s="322"/>
      <c r="N958" s="327"/>
      <c r="O958" s="327"/>
      <c r="P958" s="331"/>
      <c r="Q958" s="327"/>
      <c r="R958" s="276"/>
      <c r="S958" s="322"/>
      <c r="T958" s="322"/>
      <c r="U958" s="327"/>
      <c r="V958" s="335"/>
      <c r="W958" s="327"/>
      <c r="X958" s="327"/>
      <c r="Y958" s="327"/>
      <c r="Z958" s="107"/>
      <c r="AA958" s="335"/>
      <c r="AB958" s="335"/>
      <c r="AC958" s="327"/>
      <c r="AD958" s="327"/>
      <c r="AE958" s="327"/>
      <c r="AF958" s="327"/>
      <c r="AG958" s="327"/>
      <c r="AH958" s="327"/>
      <c r="AI958" s="327"/>
      <c r="AJ958" s="327"/>
      <c r="AK958" s="336"/>
      <c r="AL958" s="42"/>
    </row>
    <row r="959" spans="2:38" x14ac:dyDescent="0.25">
      <c r="B959" s="327"/>
      <c r="C959" s="327"/>
      <c r="D959" s="327"/>
      <c r="E959" s="327"/>
      <c r="F959" s="327"/>
      <c r="G959" s="327"/>
      <c r="H959" s="312"/>
      <c r="I959" s="327"/>
      <c r="J959" s="327"/>
      <c r="K959" s="334"/>
      <c r="L959" s="322"/>
      <c r="M959" s="322"/>
      <c r="N959" s="327"/>
      <c r="O959" s="327"/>
      <c r="P959" s="331"/>
      <c r="Q959" s="327"/>
      <c r="R959" s="276"/>
      <c r="S959" s="322"/>
      <c r="T959" s="322"/>
      <c r="U959" s="327"/>
      <c r="V959" s="335"/>
      <c r="W959" s="327"/>
      <c r="X959" s="327"/>
      <c r="Y959" s="327"/>
      <c r="Z959" s="107"/>
      <c r="AA959" s="335"/>
      <c r="AB959" s="335"/>
      <c r="AC959" s="327"/>
      <c r="AD959" s="327"/>
      <c r="AE959" s="327"/>
      <c r="AF959" s="327"/>
      <c r="AG959" s="327"/>
      <c r="AH959" s="327"/>
      <c r="AI959" s="327"/>
      <c r="AJ959" s="327"/>
      <c r="AK959" s="336"/>
      <c r="AL959" s="42"/>
    </row>
    <row r="960" spans="2:38" x14ac:dyDescent="0.25">
      <c r="B960" s="327"/>
      <c r="C960" s="327"/>
      <c r="D960" s="327"/>
      <c r="E960" s="327"/>
      <c r="F960" s="327"/>
      <c r="G960" s="327"/>
      <c r="H960" s="312"/>
      <c r="I960" s="327"/>
      <c r="J960" s="327"/>
      <c r="K960" s="334"/>
      <c r="L960" s="322"/>
      <c r="M960" s="322"/>
      <c r="N960" s="327"/>
      <c r="O960" s="327"/>
      <c r="P960" s="331"/>
      <c r="Q960" s="327"/>
      <c r="R960" s="276"/>
      <c r="S960" s="322"/>
      <c r="T960" s="322"/>
      <c r="U960" s="327"/>
      <c r="V960" s="335"/>
      <c r="W960" s="327"/>
      <c r="X960" s="327"/>
      <c r="Y960" s="327"/>
      <c r="Z960" s="107"/>
      <c r="AA960" s="335"/>
      <c r="AB960" s="335"/>
      <c r="AC960" s="327"/>
      <c r="AD960" s="327"/>
      <c r="AE960" s="327"/>
      <c r="AF960" s="327"/>
      <c r="AG960" s="327"/>
      <c r="AH960" s="327"/>
      <c r="AI960" s="327"/>
      <c r="AJ960" s="327"/>
      <c r="AK960" s="336"/>
      <c r="AL960" s="42"/>
    </row>
    <row r="961" spans="2:38" x14ac:dyDescent="0.25">
      <c r="B961" s="327"/>
      <c r="C961" s="327"/>
      <c r="D961" s="327"/>
      <c r="E961" s="327"/>
      <c r="F961" s="327"/>
      <c r="G961" s="327"/>
      <c r="H961" s="312"/>
      <c r="I961" s="327"/>
      <c r="J961" s="327"/>
      <c r="K961" s="334"/>
      <c r="L961" s="322"/>
      <c r="M961" s="322"/>
      <c r="N961" s="327"/>
      <c r="O961" s="327"/>
      <c r="P961" s="331"/>
      <c r="Q961" s="327"/>
      <c r="R961" s="276"/>
      <c r="S961" s="322"/>
      <c r="T961" s="322"/>
      <c r="U961" s="327"/>
      <c r="V961" s="335"/>
      <c r="W961" s="327"/>
      <c r="X961" s="327"/>
      <c r="Y961" s="327"/>
      <c r="Z961" s="107"/>
      <c r="AA961" s="335"/>
      <c r="AB961" s="335"/>
      <c r="AC961" s="327"/>
      <c r="AD961" s="327"/>
      <c r="AE961" s="327"/>
      <c r="AF961" s="327"/>
      <c r="AG961" s="327"/>
      <c r="AH961" s="327"/>
      <c r="AI961" s="327"/>
      <c r="AJ961" s="327"/>
      <c r="AK961" s="336"/>
      <c r="AL961" s="42"/>
    </row>
    <row r="962" spans="2:38" x14ac:dyDescent="0.25">
      <c r="B962" s="327"/>
      <c r="C962" s="327"/>
      <c r="D962" s="327"/>
      <c r="E962" s="327"/>
      <c r="F962" s="327"/>
      <c r="G962" s="327"/>
      <c r="H962" s="312"/>
      <c r="I962" s="327"/>
      <c r="J962" s="327"/>
      <c r="K962" s="334"/>
      <c r="L962" s="322"/>
      <c r="M962" s="322"/>
      <c r="N962" s="327"/>
      <c r="O962" s="327"/>
      <c r="P962" s="331"/>
      <c r="Q962" s="327"/>
      <c r="R962" s="276"/>
      <c r="S962" s="322"/>
      <c r="T962" s="322"/>
      <c r="U962" s="327"/>
      <c r="V962" s="335"/>
      <c r="W962" s="327"/>
      <c r="X962" s="327"/>
      <c r="Y962" s="327"/>
      <c r="Z962" s="107"/>
      <c r="AA962" s="335"/>
      <c r="AB962" s="335"/>
      <c r="AC962" s="327"/>
      <c r="AD962" s="327"/>
      <c r="AE962" s="327"/>
      <c r="AF962" s="327"/>
      <c r="AG962" s="327"/>
      <c r="AH962" s="327"/>
      <c r="AI962" s="327"/>
      <c r="AJ962" s="327"/>
      <c r="AK962" s="336"/>
      <c r="AL962" s="42"/>
    </row>
    <row r="963" spans="2:38" x14ac:dyDescent="0.25">
      <c r="B963" s="327"/>
      <c r="C963" s="327"/>
      <c r="D963" s="327"/>
      <c r="E963" s="327"/>
      <c r="F963" s="327"/>
      <c r="G963" s="327"/>
      <c r="H963" s="312"/>
      <c r="I963" s="327"/>
      <c r="J963" s="327"/>
      <c r="K963" s="334"/>
      <c r="L963" s="322"/>
      <c r="M963" s="322"/>
      <c r="N963" s="327"/>
      <c r="O963" s="327"/>
      <c r="P963" s="331"/>
      <c r="Q963" s="327"/>
      <c r="R963" s="276"/>
      <c r="S963" s="322"/>
      <c r="T963" s="322"/>
      <c r="U963" s="327"/>
      <c r="V963" s="335"/>
      <c r="W963" s="327"/>
      <c r="X963" s="327"/>
      <c r="Y963" s="327"/>
      <c r="Z963" s="107"/>
      <c r="AA963" s="335"/>
      <c r="AB963" s="335"/>
      <c r="AC963" s="327"/>
      <c r="AD963" s="327"/>
      <c r="AE963" s="327"/>
      <c r="AF963" s="327"/>
      <c r="AG963" s="327"/>
      <c r="AH963" s="327"/>
      <c r="AI963" s="327"/>
      <c r="AJ963" s="327"/>
      <c r="AK963" s="336"/>
      <c r="AL963" s="42"/>
    </row>
    <row r="964" spans="2:38" x14ac:dyDescent="0.25">
      <c r="B964" s="327"/>
      <c r="C964" s="327"/>
      <c r="D964" s="327"/>
      <c r="E964" s="327"/>
      <c r="F964" s="327"/>
      <c r="G964" s="327"/>
      <c r="H964" s="312"/>
      <c r="I964" s="327"/>
      <c r="J964" s="327"/>
      <c r="K964" s="334"/>
      <c r="L964" s="322"/>
      <c r="M964" s="322"/>
      <c r="N964" s="327"/>
      <c r="O964" s="327"/>
      <c r="P964" s="331"/>
      <c r="Q964" s="327"/>
      <c r="R964" s="276"/>
      <c r="S964" s="322"/>
      <c r="T964" s="322"/>
      <c r="U964" s="327"/>
      <c r="V964" s="335"/>
      <c r="W964" s="327"/>
      <c r="X964" s="327"/>
      <c r="Y964" s="327"/>
      <c r="Z964" s="107"/>
      <c r="AA964" s="335"/>
      <c r="AB964" s="335"/>
      <c r="AC964" s="327"/>
      <c r="AD964" s="327"/>
      <c r="AE964" s="327"/>
      <c r="AF964" s="327"/>
      <c r="AG964" s="327"/>
      <c r="AH964" s="327"/>
      <c r="AI964" s="327"/>
      <c r="AJ964" s="327"/>
      <c r="AK964" s="336"/>
      <c r="AL964" s="42"/>
    </row>
    <row r="965" spans="2:38" x14ac:dyDescent="0.25">
      <c r="B965" s="327"/>
      <c r="C965" s="327"/>
      <c r="D965" s="327"/>
      <c r="E965" s="327"/>
      <c r="F965" s="327"/>
      <c r="G965" s="327"/>
      <c r="H965" s="312"/>
      <c r="I965" s="327"/>
      <c r="J965" s="327"/>
      <c r="K965" s="334"/>
      <c r="L965" s="322"/>
      <c r="M965" s="322"/>
      <c r="N965" s="327"/>
      <c r="O965" s="327"/>
      <c r="P965" s="331"/>
      <c r="Q965" s="327"/>
      <c r="R965" s="276"/>
      <c r="S965" s="322"/>
      <c r="T965" s="322"/>
      <c r="U965" s="327"/>
      <c r="V965" s="335"/>
      <c r="W965" s="327"/>
      <c r="X965" s="327"/>
      <c r="Y965" s="327"/>
      <c r="Z965" s="107"/>
      <c r="AA965" s="335"/>
      <c r="AB965" s="335"/>
      <c r="AC965" s="327"/>
      <c r="AD965" s="327"/>
      <c r="AE965" s="327"/>
      <c r="AF965" s="327"/>
      <c r="AG965" s="327"/>
      <c r="AH965" s="327"/>
      <c r="AI965" s="327"/>
      <c r="AJ965" s="327"/>
      <c r="AK965" s="336"/>
      <c r="AL965" s="42"/>
    </row>
    <row r="966" spans="2:38" x14ac:dyDescent="0.25">
      <c r="B966" s="327"/>
      <c r="C966" s="327"/>
      <c r="D966" s="327"/>
      <c r="E966" s="327"/>
      <c r="F966" s="327"/>
      <c r="G966" s="327"/>
      <c r="H966" s="312"/>
      <c r="I966" s="327"/>
      <c r="J966" s="327"/>
      <c r="K966" s="334"/>
      <c r="L966" s="322"/>
      <c r="M966" s="322"/>
      <c r="N966" s="327"/>
      <c r="O966" s="327"/>
      <c r="P966" s="331"/>
      <c r="Q966" s="327"/>
      <c r="R966" s="276"/>
      <c r="S966" s="322"/>
      <c r="T966" s="322"/>
      <c r="U966" s="327"/>
      <c r="V966" s="335"/>
      <c r="W966" s="327"/>
      <c r="X966" s="327"/>
      <c r="Y966" s="327"/>
      <c r="Z966" s="107"/>
      <c r="AA966" s="335"/>
      <c r="AB966" s="335"/>
      <c r="AC966" s="327"/>
      <c r="AD966" s="327"/>
      <c r="AE966" s="327"/>
      <c r="AF966" s="327"/>
      <c r="AG966" s="327"/>
      <c r="AH966" s="327"/>
      <c r="AI966" s="327"/>
      <c r="AJ966" s="327"/>
      <c r="AK966" s="336"/>
      <c r="AL966" s="42"/>
    </row>
    <row r="967" spans="2:38" x14ac:dyDescent="0.25">
      <c r="B967" s="327"/>
      <c r="C967" s="327"/>
      <c r="D967" s="327"/>
      <c r="E967" s="327"/>
      <c r="F967" s="327"/>
      <c r="G967" s="327"/>
      <c r="H967" s="312"/>
      <c r="I967" s="327"/>
      <c r="J967" s="327"/>
      <c r="K967" s="334"/>
      <c r="L967" s="322"/>
      <c r="M967" s="322"/>
      <c r="N967" s="327"/>
      <c r="O967" s="327"/>
      <c r="P967" s="331"/>
      <c r="Q967" s="327"/>
      <c r="R967" s="276"/>
      <c r="S967" s="322"/>
      <c r="T967" s="322"/>
      <c r="U967" s="327"/>
      <c r="V967" s="335"/>
      <c r="W967" s="327"/>
      <c r="X967" s="327"/>
      <c r="Y967" s="327"/>
      <c r="Z967" s="107"/>
      <c r="AA967" s="335"/>
      <c r="AB967" s="335"/>
      <c r="AC967" s="327"/>
      <c r="AD967" s="327"/>
      <c r="AE967" s="327"/>
      <c r="AF967" s="327"/>
      <c r="AG967" s="327"/>
      <c r="AH967" s="327"/>
      <c r="AI967" s="327"/>
      <c r="AJ967" s="327"/>
      <c r="AK967" s="336"/>
      <c r="AL967" s="42"/>
    </row>
    <row r="968" spans="2:38" x14ac:dyDescent="0.25">
      <c r="B968" s="327"/>
      <c r="C968" s="327"/>
      <c r="D968" s="327"/>
      <c r="E968" s="327"/>
      <c r="F968" s="327"/>
      <c r="G968" s="327"/>
      <c r="H968" s="312"/>
      <c r="I968" s="327"/>
      <c r="J968" s="327"/>
      <c r="K968" s="334"/>
      <c r="L968" s="322"/>
      <c r="M968" s="322"/>
      <c r="N968" s="327"/>
      <c r="O968" s="327"/>
      <c r="P968" s="331"/>
      <c r="Q968" s="327"/>
      <c r="R968" s="276"/>
      <c r="S968" s="322"/>
      <c r="T968" s="322"/>
      <c r="U968" s="327"/>
      <c r="V968" s="335"/>
      <c r="W968" s="327"/>
      <c r="X968" s="327"/>
      <c r="Y968" s="327"/>
      <c r="Z968" s="107"/>
      <c r="AA968" s="335"/>
      <c r="AB968" s="335"/>
      <c r="AC968" s="327"/>
      <c r="AD968" s="327"/>
      <c r="AE968" s="327"/>
      <c r="AF968" s="327"/>
      <c r="AG968" s="327"/>
      <c r="AH968" s="327"/>
      <c r="AI968" s="327"/>
      <c r="AJ968" s="327"/>
      <c r="AK968" s="336"/>
      <c r="AL968" s="42"/>
    </row>
    <row r="969" spans="2:38" x14ac:dyDescent="0.25">
      <c r="B969" s="327"/>
      <c r="C969" s="327"/>
      <c r="D969" s="327"/>
      <c r="E969" s="327"/>
      <c r="F969" s="327"/>
      <c r="G969" s="327"/>
      <c r="H969" s="312"/>
      <c r="I969" s="327"/>
      <c r="J969" s="327"/>
      <c r="K969" s="334"/>
      <c r="L969" s="322"/>
      <c r="M969" s="322"/>
      <c r="N969" s="327"/>
      <c r="O969" s="327"/>
      <c r="P969" s="331"/>
      <c r="Q969" s="327"/>
      <c r="R969" s="276"/>
      <c r="S969" s="322"/>
      <c r="T969" s="322"/>
      <c r="U969" s="327"/>
      <c r="V969" s="335"/>
      <c r="W969" s="327"/>
      <c r="X969" s="327"/>
      <c r="Y969" s="327"/>
      <c r="Z969" s="107"/>
      <c r="AA969" s="335"/>
      <c r="AB969" s="335"/>
      <c r="AC969" s="327"/>
      <c r="AD969" s="327"/>
      <c r="AE969" s="327"/>
      <c r="AF969" s="327"/>
      <c r="AG969" s="327"/>
      <c r="AH969" s="327"/>
      <c r="AI969" s="327"/>
      <c r="AJ969" s="327"/>
      <c r="AK969" s="336"/>
      <c r="AL969" s="42"/>
    </row>
    <row r="970" spans="2:38" x14ac:dyDescent="0.25">
      <c r="B970" s="327"/>
      <c r="C970" s="327"/>
      <c r="D970" s="327"/>
      <c r="E970" s="327"/>
      <c r="F970" s="327"/>
      <c r="G970" s="327"/>
      <c r="H970" s="312"/>
      <c r="I970" s="327"/>
      <c r="J970" s="327"/>
      <c r="K970" s="334"/>
      <c r="L970" s="322"/>
      <c r="M970" s="322"/>
      <c r="N970" s="327"/>
      <c r="O970" s="327"/>
      <c r="P970" s="331"/>
      <c r="Q970" s="327"/>
      <c r="R970" s="276"/>
      <c r="S970" s="322"/>
      <c r="T970" s="322"/>
      <c r="U970" s="327"/>
      <c r="V970" s="335"/>
      <c r="W970" s="327"/>
      <c r="X970" s="327"/>
      <c r="Y970" s="327"/>
      <c r="Z970" s="107"/>
      <c r="AA970" s="335"/>
      <c r="AB970" s="335"/>
      <c r="AC970" s="327"/>
      <c r="AD970" s="327"/>
      <c r="AE970" s="327"/>
      <c r="AF970" s="327"/>
      <c r="AG970" s="327"/>
      <c r="AH970" s="327"/>
      <c r="AI970" s="327"/>
      <c r="AJ970" s="327"/>
      <c r="AK970" s="336"/>
      <c r="AL970" s="42"/>
    </row>
    <row r="971" spans="2:38" x14ac:dyDescent="0.25">
      <c r="B971" s="327"/>
      <c r="C971" s="327"/>
      <c r="D971" s="327"/>
      <c r="E971" s="327"/>
      <c r="F971" s="327"/>
      <c r="G971" s="327"/>
      <c r="H971" s="312"/>
      <c r="I971" s="327"/>
      <c r="J971" s="327"/>
      <c r="K971" s="334"/>
      <c r="L971" s="322"/>
      <c r="M971" s="322"/>
      <c r="N971" s="327"/>
      <c r="O971" s="327"/>
      <c r="P971" s="331"/>
      <c r="Q971" s="327"/>
      <c r="R971" s="276"/>
      <c r="S971" s="322"/>
      <c r="T971" s="322"/>
      <c r="U971" s="327"/>
      <c r="V971" s="335"/>
      <c r="W971" s="327"/>
      <c r="X971" s="327"/>
      <c r="Y971" s="327"/>
      <c r="Z971" s="107"/>
      <c r="AA971" s="335"/>
      <c r="AB971" s="335"/>
      <c r="AC971" s="327"/>
      <c r="AD971" s="327"/>
      <c r="AE971" s="327"/>
      <c r="AF971" s="327"/>
      <c r="AG971" s="327"/>
      <c r="AH971" s="327"/>
      <c r="AI971" s="327"/>
      <c r="AJ971" s="327"/>
      <c r="AK971" s="336"/>
      <c r="AL971" s="42"/>
    </row>
    <row r="972" spans="2:38" x14ac:dyDescent="0.25">
      <c r="B972" s="327"/>
      <c r="C972" s="327"/>
      <c r="D972" s="327"/>
      <c r="E972" s="327"/>
      <c r="F972" s="327"/>
      <c r="G972" s="327"/>
      <c r="H972" s="312"/>
      <c r="I972" s="327"/>
      <c r="J972" s="327"/>
      <c r="K972" s="334"/>
      <c r="L972" s="322"/>
      <c r="M972" s="322"/>
      <c r="N972" s="327"/>
      <c r="O972" s="327"/>
      <c r="P972" s="331"/>
      <c r="Q972" s="327"/>
      <c r="R972" s="276"/>
      <c r="S972" s="322"/>
      <c r="T972" s="322"/>
      <c r="U972" s="327"/>
      <c r="V972" s="335"/>
      <c r="W972" s="327"/>
      <c r="X972" s="327"/>
      <c r="Y972" s="327"/>
      <c r="Z972" s="107"/>
      <c r="AA972" s="335"/>
      <c r="AB972" s="335"/>
      <c r="AC972" s="327"/>
      <c r="AD972" s="327"/>
      <c r="AE972" s="327"/>
      <c r="AF972" s="327"/>
      <c r="AG972" s="327"/>
      <c r="AH972" s="327"/>
      <c r="AI972" s="327"/>
      <c r="AJ972" s="327"/>
      <c r="AK972" s="336"/>
      <c r="AL972" s="42"/>
    </row>
    <row r="973" spans="2:38" x14ac:dyDescent="0.25">
      <c r="B973" s="327"/>
      <c r="C973" s="327"/>
      <c r="D973" s="327"/>
      <c r="E973" s="327"/>
      <c r="F973" s="327"/>
      <c r="G973" s="327"/>
      <c r="H973" s="312"/>
      <c r="I973" s="327"/>
      <c r="J973" s="327"/>
      <c r="K973" s="334"/>
      <c r="L973" s="322"/>
      <c r="M973" s="322"/>
      <c r="N973" s="327"/>
      <c r="O973" s="327"/>
      <c r="P973" s="331"/>
      <c r="Q973" s="327"/>
      <c r="R973" s="276"/>
      <c r="S973" s="322"/>
      <c r="T973" s="322"/>
      <c r="U973" s="327"/>
      <c r="V973" s="335"/>
      <c r="W973" s="327"/>
      <c r="X973" s="327"/>
      <c r="Y973" s="327"/>
      <c r="Z973" s="107"/>
      <c r="AA973" s="335"/>
      <c r="AB973" s="335"/>
      <c r="AC973" s="327"/>
      <c r="AD973" s="327"/>
      <c r="AE973" s="327"/>
      <c r="AF973" s="327"/>
      <c r="AG973" s="327"/>
      <c r="AH973" s="327"/>
      <c r="AI973" s="327"/>
      <c r="AJ973" s="327"/>
      <c r="AK973" s="336"/>
      <c r="AL973" s="42"/>
    </row>
    <row r="974" spans="2:38" x14ac:dyDescent="0.25">
      <c r="B974" s="327"/>
      <c r="C974" s="327"/>
      <c r="D974" s="327"/>
      <c r="E974" s="327"/>
      <c r="F974" s="327"/>
      <c r="G974" s="327"/>
      <c r="H974" s="312"/>
      <c r="I974" s="327"/>
      <c r="J974" s="327"/>
      <c r="K974" s="334"/>
      <c r="L974" s="322"/>
      <c r="M974" s="322"/>
      <c r="N974" s="327"/>
      <c r="O974" s="327"/>
      <c r="P974" s="331"/>
      <c r="Q974" s="327"/>
      <c r="R974" s="276"/>
      <c r="S974" s="322"/>
      <c r="T974" s="322"/>
      <c r="U974" s="327"/>
      <c r="V974" s="335"/>
      <c r="W974" s="327"/>
      <c r="X974" s="327"/>
      <c r="Y974" s="327"/>
      <c r="Z974" s="107"/>
      <c r="AA974" s="335"/>
      <c r="AB974" s="335"/>
      <c r="AC974" s="327"/>
      <c r="AD974" s="327"/>
      <c r="AE974" s="327"/>
      <c r="AF974" s="327"/>
      <c r="AG974" s="327"/>
      <c r="AH974" s="327"/>
      <c r="AI974" s="327"/>
      <c r="AJ974" s="327"/>
      <c r="AK974" s="336"/>
      <c r="AL974" s="42"/>
    </row>
    <row r="975" spans="2:38" x14ac:dyDescent="0.25">
      <c r="B975" s="327"/>
      <c r="C975" s="327"/>
      <c r="D975" s="327"/>
      <c r="E975" s="327"/>
      <c r="F975" s="327"/>
      <c r="G975" s="327"/>
      <c r="H975" s="312"/>
      <c r="I975" s="327"/>
      <c r="J975" s="327"/>
      <c r="K975" s="334"/>
      <c r="L975" s="322"/>
      <c r="M975" s="322"/>
      <c r="N975" s="327"/>
      <c r="O975" s="327"/>
      <c r="P975" s="331"/>
      <c r="Q975" s="327"/>
      <c r="R975" s="276"/>
      <c r="S975" s="322"/>
      <c r="T975" s="322"/>
      <c r="U975" s="327"/>
      <c r="V975" s="335"/>
      <c r="W975" s="327"/>
      <c r="X975" s="327"/>
      <c r="Y975" s="327"/>
      <c r="Z975" s="107"/>
      <c r="AA975" s="335"/>
      <c r="AB975" s="335"/>
      <c r="AC975" s="327"/>
      <c r="AD975" s="327"/>
      <c r="AE975" s="327"/>
      <c r="AF975" s="327"/>
      <c r="AG975" s="327"/>
      <c r="AH975" s="327"/>
      <c r="AI975" s="327"/>
      <c r="AJ975" s="327"/>
      <c r="AK975" s="336"/>
      <c r="AL975" s="42"/>
    </row>
    <row r="976" spans="2:38" x14ac:dyDescent="0.25">
      <c r="B976" s="327"/>
      <c r="C976" s="327"/>
      <c r="D976" s="327"/>
      <c r="E976" s="327"/>
      <c r="F976" s="327"/>
      <c r="G976" s="327"/>
      <c r="H976" s="312"/>
      <c r="I976" s="327"/>
      <c r="J976" s="327"/>
      <c r="K976" s="334"/>
      <c r="L976" s="322"/>
      <c r="M976" s="322"/>
      <c r="N976" s="327"/>
      <c r="O976" s="327"/>
      <c r="P976" s="331"/>
      <c r="Q976" s="327"/>
      <c r="R976" s="276"/>
      <c r="S976" s="322"/>
      <c r="T976" s="322"/>
      <c r="U976" s="327"/>
      <c r="V976" s="335"/>
      <c r="W976" s="327"/>
      <c r="X976" s="327"/>
      <c r="Y976" s="327"/>
      <c r="Z976" s="107"/>
      <c r="AA976" s="335"/>
      <c r="AB976" s="335"/>
      <c r="AC976" s="327"/>
      <c r="AD976" s="327"/>
      <c r="AE976" s="327"/>
      <c r="AF976" s="327"/>
      <c r="AG976" s="327"/>
      <c r="AH976" s="327"/>
      <c r="AI976" s="327"/>
      <c r="AJ976" s="327"/>
      <c r="AK976" s="336"/>
      <c r="AL976" s="42"/>
    </row>
    <row r="977" spans="2:38" x14ac:dyDescent="0.25">
      <c r="B977" s="327"/>
      <c r="C977" s="327"/>
      <c r="D977" s="327"/>
      <c r="E977" s="327"/>
      <c r="F977" s="327"/>
      <c r="G977" s="327"/>
      <c r="H977" s="312"/>
      <c r="I977" s="327"/>
      <c r="J977" s="327"/>
      <c r="K977" s="334"/>
      <c r="L977" s="322"/>
      <c r="M977" s="322"/>
      <c r="N977" s="327"/>
      <c r="O977" s="327"/>
      <c r="P977" s="331"/>
      <c r="Q977" s="327"/>
      <c r="R977" s="276"/>
      <c r="S977" s="322"/>
      <c r="T977" s="322"/>
      <c r="U977" s="327"/>
      <c r="V977" s="335"/>
      <c r="W977" s="327"/>
      <c r="X977" s="327"/>
      <c r="Y977" s="327"/>
      <c r="Z977" s="107"/>
      <c r="AA977" s="335"/>
      <c r="AB977" s="335"/>
      <c r="AC977" s="327"/>
      <c r="AD977" s="327"/>
      <c r="AE977" s="327"/>
      <c r="AF977" s="327"/>
      <c r="AG977" s="327"/>
      <c r="AH977" s="327"/>
      <c r="AI977" s="327"/>
      <c r="AJ977" s="327"/>
      <c r="AK977" s="336"/>
      <c r="AL977" s="42"/>
    </row>
    <row r="978" spans="2:38" x14ac:dyDescent="0.25">
      <c r="B978" s="327"/>
      <c r="C978" s="327"/>
      <c r="D978" s="327"/>
      <c r="E978" s="327"/>
      <c r="F978" s="327"/>
      <c r="G978" s="327"/>
      <c r="H978" s="312"/>
      <c r="I978" s="327"/>
      <c r="J978" s="327"/>
      <c r="K978" s="334"/>
      <c r="L978" s="322"/>
      <c r="M978" s="322"/>
      <c r="N978" s="327"/>
      <c r="O978" s="327"/>
      <c r="P978" s="331"/>
      <c r="Q978" s="327"/>
      <c r="R978" s="276"/>
      <c r="S978" s="322"/>
      <c r="T978" s="322"/>
      <c r="U978" s="327"/>
      <c r="V978" s="335"/>
      <c r="W978" s="327"/>
      <c r="X978" s="327"/>
      <c r="Y978" s="327"/>
      <c r="Z978" s="107"/>
      <c r="AA978" s="335"/>
      <c r="AB978" s="335"/>
      <c r="AC978" s="327"/>
      <c r="AD978" s="327"/>
      <c r="AE978" s="327"/>
      <c r="AF978" s="327"/>
      <c r="AG978" s="327"/>
      <c r="AH978" s="327"/>
      <c r="AI978" s="327"/>
      <c r="AJ978" s="327"/>
      <c r="AK978" s="336"/>
      <c r="AL978" s="42"/>
    </row>
    <row r="979" spans="2:38" x14ac:dyDescent="0.25">
      <c r="B979" s="327"/>
      <c r="C979" s="327"/>
      <c r="D979" s="327"/>
      <c r="E979" s="327"/>
      <c r="F979" s="327"/>
      <c r="G979" s="327"/>
      <c r="H979" s="312"/>
      <c r="I979" s="327"/>
      <c r="J979" s="327"/>
      <c r="K979" s="334"/>
      <c r="L979" s="322"/>
      <c r="M979" s="322"/>
      <c r="N979" s="327"/>
      <c r="O979" s="327"/>
      <c r="P979" s="331"/>
      <c r="Q979" s="327"/>
      <c r="R979" s="276"/>
      <c r="S979" s="322"/>
      <c r="T979" s="322"/>
      <c r="U979" s="327"/>
      <c r="V979" s="335"/>
      <c r="W979" s="327"/>
      <c r="X979" s="327"/>
      <c r="Y979" s="327"/>
      <c r="Z979" s="107"/>
      <c r="AA979" s="335"/>
      <c r="AB979" s="335"/>
      <c r="AC979" s="327"/>
      <c r="AD979" s="327"/>
      <c r="AE979" s="327"/>
      <c r="AF979" s="327"/>
      <c r="AG979" s="327"/>
      <c r="AH979" s="327"/>
      <c r="AI979" s="327"/>
      <c r="AJ979" s="327"/>
      <c r="AK979" s="336"/>
      <c r="AL979" s="42"/>
    </row>
    <row r="980" spans="2:38" x14ac:dyDescent="0.25">
      <c r="B980" s="327"/>
      <c r="C980" s="327"/>
      <c r="D980" s="327"/>
      <c r="E980" s="327"/>
      <c r="F980" s="327"/>
      <c r="G980" s="327"/>
      <c r="H980" s="312"/>
      <c r="I980" s="327"/>
      <c r="J980" s="327"/>
      <c r="K980" s="334"/>
      <c r="L980" s="322"/>
      <c r="M980" s="322"/>
      <c r="N980" s="327"/>
      <c r="O980" s="327"/>
      <c r="P980" s="331"/>
      <c r="Q980" s="327"/>
      <c r="R980" s="276"/>
      <c r="S980" s="322"/>
      <c r="T980" s="322"/>
      <c r="U980" s="327"/>
      <c r="V980" s="335"/>
      <c r="W980" s="327"/>
      <c r="X980" s="327"/>
      <c r="Y980" s="327"/>
      <c r="Z980" s="107"/>
      <c r="AA980" s="335"/>
      <c r="AB980" s="335"/>
      <c r="AC980" s="327"/>
      <c r="AD980" s="327"/>
      <c r="AE980" s="327"/>
      <c r="AF980" s="327"/>
      <c r="AG980" s="327"/>
      <c r="AH980" s="327"/>
      <c r="AI980" s="327"/>
      <c r="AJ980" s="327"/>
      <c r="AK980" s="336"/>
      <c r="AL980" s="42"/>
    </row>
    <row r="981" spans="2:38" x14ac:dyDescent="0.25">
      <c r="B981" s="327"/>
      <c r="C981" s="327"/>
      <c r="D981" s="327"/>
      <c r="E981" s="327"/>
      <c r="F981" s="327"/>
      <c r="G981" s="327"/>
      <c r="H981" s="312"/>
      <c r="I981" s="327"/>
      <c r="J981" s="327"/>
      <c r="K981" s="334"/>
      <c r="L981" s="322"/>
      <c r="M981" s="322"/>
      <c r="N981" s="327"/>
      <c r="O981" s="327"/>
      <c r="P981" s="331"/>
      <c r="Q981" s="327"/>
      <c r="R981" s="276"/>
      <c r="S981" s="322"/>
      <c r="T981" s="322"/>
      <c r="U981" s="327"/>
      <c r="V981" s="335"/>
      <c r="W981" s="327"/>
      <c r="X981" s="327"/>
      <c r="Y981" s="327"/>
      <c r="Z981" s="107"/>
      <c r="AA981" s="335"/>
      <c r="AB981" s="335"/>
      <c r="AC981" s="327"/>
      <c r="AD981" s="327"/>
      <c r="AE981" s="327"/>
      <c r="AF981" s="327"/>
      <c r="AG981" s="327"/>
      <c r="AH981" s="327"/>
      <c r="AI981" s="327"/>
      <c r="AJ981" s="327"/>
      <c r="AK981" s="336"/>
      <c r="AL981" s="42"/>
    </row>
    <row r="982" spans="2:38" x14ac:dyDescent="0.25">
      <c r="B982" s="327"/>
      <c r="C982" s="327"/>
      <c r="D982" s="327"/>
      <c r="E982" s="327"/>
      <c r="F982" s="327"/>
      <c r="G982" s="327"/>
      <c r="H982" s="312"/>
      <c r="I982" s="327"/>
      <c r="J982" s="327"/>
      <c r="K982" s="334"/>
      <c r="L982" s="322"/>
      <c r="M982" s="322"/>
      <c r="N982" s="327"/>
      <c r="O982" s="327"/>
      <c r="P982" s="331"/>
      <c r="Q982" s="327"/>
      <c r="R982" s="276"/>
      <c r="S982" s="322"/>
      <c r="T982" s="322"/>
      <c r="U982" s="327"/>
      <c r="V982" s="335"/>
      <c r="W982" s="327"/>
      <c r="X982" s="327"/>
      <c r="Y982" s="327"/>
      <c r="Z982" s="107"/>
      <c r="AA982" s="335"/>
      <c r="AB982" s="335"/>
      <c r="AC982" s="327"/>
      <c r="AD982" s="327"/>
      <c r="AE982" s="327"/>
      <c r="AF982" s="327"/>
      <c r="AG982" s="327"/>
      <c r="AH982" s="327"/>
      <c r="AI982" s="327"/>
      <c r="AJ982" s="327"/>
      <c r="AK982" s="336"/>
      <c r="AL982" s="42"/>
    </row>
    <row r="983" spans="2:38" x14ac:dyDescent="0.25">
      <c r="B983" s="327"/>
      <c r="C983" s="327"/>
      <c r="D983" s="327"/>
      <c r="E983" s="327"/>
      <c r="F983" s="327"/>
      <c r="G983" s="327"/>
      <c r="H983" s="312"/>
      <c r="I983" s="327"/>
      <c r="J983" s="327"/>
      <c r="K983" s="334"/>
      <c r="L983" s="322"/>
      <c r="M983" s="322"/>
      <c r="N983" s="327"/>
      <c r="O983" s="327"/>
      <c r="P983" s="331"/>
      <c r="Q983" s="327"/>
      <c r="R983" s="276"/>
      <c r="S983" s="322"/>
      <c r="T983" s="322"/>
      <c r="U983" s="327"/>
      <c r="V983" s="335"/>
      <c r="W983" s="327"/>
      <c r="X983" s="327"/>
      <c r="Y983" s="327"/>
      <c r="Z983" s="107"/>
      <c r="AA983" s="335"/>
      <c r="AB983" s="335"/>
      <c r="AC983" s="327"/>
      <c r="AD983" s="327"/>
      <c r="AE983" s="327"/>
      <c r="AF983" s="327"/>
      <c r="AG983" s="327"/>
      <c r="AH983" s="327"/>
      <c r="AI983" s="327"/>
      <c r="AJ983" s="327"/>
      <c r="AK983" s="336"/>
      <c r="AL983" s="42"/>
    </row>
    <row r="984" spans="2:38" x14ac:dyDescent="0.25">
      <c r="B984" s="327"/>
      <c r="C984" s="327"/>
      <c r="D984" s="327"/>
      <c r="E984" s="327"/>
      <c r="F984" s="327"/>
      <c r="G984" s="327"/>
      <c r="H984" s="312"/>
      <c r="I984" s="327"/>
      <c r="J984" s="327"/>
      <c r="K984" s="334"/>
      <c r="L984" s="322"/>
      <c r="M984" s="322"/>
      <c r="N984" s="327"/>
      <c r="O984" s="327"/>
      <c r="P984" s="331"/>
      <c r="Q984" s="327"/>
      <c r="R984" s="276"/>
      <c r="S984" s="322"/>
      <c r="T984" s="322"/>
      <c r="U984" s="327"/>
      <c r="V984" s="335"/>
      <c r="W984" s="327"/>
      <c r="X984" s="327"/>
      <c r="Y984" s="327"/>
      <c r="Z984" s="107"/>
      <c r="AA984" s="335"/>
      <c r="AB984" s="335"/>
      <c r="AC984" s="327"/>
      <c r="AD984" s="327"/>
      <c r="AE984" s="327"/>
      <c r="AF984" s="327"/>
      <c r="AG984" s="327"/>
      <c r="AH984" s="327"/>
      <c r="AI984" s="327"/>
      <c r="AJ984" s="327"/>
      <c r="AK984" s="336"/>
      <c r="AL984" s="42"/>
    </row>
    <row r="985" spans="2:38" x14ac:dyDescent="0.25">
      <c r="B985" s="327"/>
      <c r="C985" s="327"/>
      <c r="D985" s="327"/>
      <c r="E985" s="327"/>
      <c r="F985" s="327"/>
      <c r="G985" s="327"/>
      <c r="H985" s="312"/>
      <c r="I985" s="327"/>
      <c r="J985" s="327"/>
      <c r="K985" s="334"/>
      <c r="L985" s="322"/>
      <c r="M985" s="322"/>
      <c r="N985" s="327"/>
      <c r="O985" s="327"/>
      <c r="P985" s="331"/>
      <c r="Q985" s="327"/>
      <c r="R985" s="276"/>
      <c r="S985" s="322"/>
      <c r="T985" s="322"/>
      <c r="U985" s="327"/>
      <c r="V985" s="335"/>
      <c r="W985" s="327"/>
      <c r="X985" s="327"/>
      <c r="Y985" s="327"/>
      <c r="Z985" s="107"/>
      <c r="AA985" s="335"/>
      <c r="AB985" s="335"/>
      <c r="AC985" s="327"/>
      <c r="AD985" s="327"/>
      <c r="AE985" s="327"/>
      <c r="AF985" s="327"/>
      <c r="AG985" s="327"/>
      <c r="AH985" s="327"/>
      <c r="AI985" s="327"/>
      <c r="AJ985" s="327"/>
      <c r="AK985" s="336"/>
      <c r="AL985" s="42"/>
    </row>
    <row r="986" spans="2:38" x14ac:dyDescent="0.25">
      <c r="B986" s="327"/>
      <c r="C986" s="327"/>
      <c r="D986" s="327"/>
      <c r="E986" s="327"/>
      <c r="F986" s="327"/>
      <c r="G986" s="327"/>
      <c r="H986" s="312"/>
      <c r="I986" s="327"/>
      <c r="J986" s="327"/>
      <c r="K986" s="334"/>
      <c r="L986" s="322"/>
      <c r="M986" s="322"/>
      <c r="N986" s="327"/>
      <c r="O986" s="327"/>
      <c r="P986" s="331"/>
      <c r="Q986" s="327"/>
      <c r="R986" s="276"/>
      <c r="S986" s="322"/>
      <c r="T986" s="322"/>
      <c r="U986" s="327"/>
      <c r="V986" s="335"/>
      <c r="W986" s="327"/>
      <c r="X986" s="327"/>
      <c r="Y986" s="327"/>
      <c r="Z986" s="107"/>
      <c r="AA986" s="335"/>
      <c r="AB986" s="335"/>
      <c r="AC986" s="327"/>
      <c r="AD986" s="327"/>
      <c r="AE986" s="327"/>
      <c r="AF986" s="327"/>
      <c r="AG986" s="327"/>
      <c r="AH986" s="327"/>
      <c r="AI986" s="327"/>
      <c r="AJ986" s="327"/>
      <c r="AK986" s="336"/>
      <c r="AL986" s="42"/>
    </row>
    <row r="987" spans="2:38" x14ac:dyDescent="0.25">
      <c r="B987" s="327"/>
      <c r="C987" s="327"/>
      <c r="D987" s="327"/>
      <c r="E987" s="327"/>
      <c r="F987" s="327"/>
      <c r="G987" s="327"/>
      <c r="H987" s="312"/>
      <c r="I987" s="327"/>
      <c r="J987" s="327"/>
      <c r="K987" s="334"/>
      <c r="L987" s="322"/>
      <c r="M987" s="322"/>
      <c r="N987" s="327"/>
      <c r="O987" s="327"/>
      <c r="P987" s="331"/>
      <c r="Q987" s="327"/>
      <c r="R987" s="276"/>
      <c r="S987" s="322"/>
      <c r="T987" s="322"/>
      <c r="U987" s="327"/>
      <c r="V987" s="335"/>
      <c r="W987" s="327"/>
      <c r="X987" s="327"/>
      <c r="Y987" s="327"/>
      <c r="Z987" s="107"/>
      <c r="AA987" s="335"/>
      <c r="AB987" s="335"/>
      <c r="AC987" s="327"/>
      <c r="AD987" s="327"/>
      <c r="AE987" s="327"/>
      <c r="AF987" s="327"/>
      <c r="AG987" s="327"/>
      <c r="AH987" s="327"/>
      <c r="AI987" s="327"/>
      <c r="AJ987" s="327"/>
      <c r="AK987" s="336"/>
      <c r="AL987" s="42"/>
    </row>
    <row r="988" spans="2:38" x14ac:dyDescent="0.25">
      <c r="B988" s="327"/>
      <c r="C988" s="327"/>
      <c r="D988" s="327"/>
      <c r="E988" s="327"/>
      <c r="F988" s="327"/>
      <c r="G988" s="327"/>
      <c r="H988" s="312"/>
      <c r="I988" s="327"/>
      <c r="J988" s="327"/>
      <c r="K988" s="334"/>
      <c r="L988" s="322"/>
      <c r="M988" s="322"/>
      <c r="N988" s="327"/>
      <c r="O988" s="327"/>
      <c r="P988" s="331"/>
      <c r="Q988" s="327"/>
      <c r="R988" s="276"/>
      <c r="S988" s="322"/>
      <c r="T988" s="322"/>
      <c r="U988" s="327"/>
      <c r="V988" s="335"/>
      <c r="W988" s="327"/>
      <c r="X988" s="327"/>
      <c r="Y988" s="327"/>
      <c r="Z988" s="107"/>
      <c r="AA988" s="335"/>
      <c r="AB988" s="335"/>
      <c r="AC988" s="327"/>
      <c r="AD988" s="327"/>
      <c r="AE988" s="327"/>
      <c r="AF988" s="327"/>
      <c r="AG988" s="327"/>
      <c r="AH988" s="327"/>
      <c r="AI988" s="327"/>
      <c r="AJ988" s="327"/>
      <c r="AK988" s="336"/>
      <c r="AL988" s="42"/>
    </row>
    <row r="989" spans="2:38" x14ac:dyDescent="0.25">
      <c r="B989" s="327"/>
      <c r="C989" s="327"/>
      <c r="D989" s="327"/>
      <c r="E989" s="327"/>
      <c r="F989" s="327"/>
      <c r="G989" s="327"/>
      <c r="H989" s="312"/>
      <c r="I989" s="327"/>
      <c r="J989" s="327"/>
      <c r="K989" s="334"/>
      <c r="L989" s="322"/>
      <c r="M989" s="322"/>
      <c r="N989" s="327"/>
      <c r="O989" s="327"/>
      <c r="P989" s="331"/>
      <c r="Q989" s="327"/>
      <c r="R989" s="276"/>
      <c r="S989" s="322"/>
      <c r="T989" s="322"/>
      <c r="U989" s="327"/>
      <c r="V989" s="335"/>
      <c r="W989" s="327"/>
      <c r="X989" s="327"/>
      <c r="Y989" s="327"/>
      <c r="Z989" s="107"/>
      <c r="AA989" s="335"/>
      <c r="AB989" s="335"/>
      <c r="AC989" s="327"/>
      <c r="AD989" s="327"/>
      <c r="AE989" s="327"/>
      <c r="AF989" s="327"/>
      <c r="AG989" s="327"/>
      <c r="AH989" s="327"/>
      <c r="AI989" s="327"/>
      <c r="AJ989" s="327"/>
      <c r="AK989" s="336"/>
      <c r="AL989" s="42"/>
    </row>
    <row r="990" spans="2:38" x14ac:dyDescent="0.25">
      <c r="B990" s="327"/>
      <c r="C990" s="327"/>
      <c r="D990" s="327"/>
      <c r="E990" s="327"/>
      <c r="F990" s="327"/>
      <c r="G990" s="327"/>
      <c r="H990" s="312"/>
      <c r="I990" s="327"/>
      <c r="J990" s="327"/>
      <c r="K990" s="334"/>
      <c r="L990" s="322"/>
      <c r="M990" s="322"/>
      <c r="N990" s="327"/>
      <c r="O990" s="327"/>
      <c r="P990" s="331"/>
      <c r="Q990" s="327"/>
      <c r="R990" s="276"/>
      <c r="S990" s="322"/>
      <c r="T990" s="322"/>
      <c r="U990" s="327"/>
      <c r="V990" s="335"/>
      <c r="W990" s="327"/>
      <c r="X990" s="327"/>
      <c r="Y990" s="327"/>
      <c r="Z990" s="107"/>
      <c r="AA990" s="335"/>
      <c r="AB990" s="335"/>
      <c r="AC990" s="327"/>
      <c r="AD990" s="327"/>
      <c r="AE990" s="327"/>
      <c r="AF990" s="327"/>
      <c r="AG990" s="327"/>
      <c r="AH990" s="327"/>
      <c r="AI990" s="327"/>
      <c r="AJ990" s="327"/>
      <c r="AK990" s="336"/>
      <c r="AL990" s="42"/>
    </row>
    <row r="991" spans="2:38" x14ac:dyDescent="0.25">
      <c r="B991" s="327"/>
      <c r="C991" s="327"/>
      <c r="D991" s="327"/>
      <c r="E991" s="327"/>
      <c r="F991" s="327"/>
      <c r="G991" s="327"/>
      <c r="H991" s="312"/>
      <c r="I991" s="327"/>
      <c r="J991" s="327"/>
      <c r="K991" s="334"/>
      <c r="L991" s="322"/>
      <c r="M991" s="322"/>
      <c r="N991" s="327"/>
      <c r="O991" s="327"/>
      <c r="P991" s="331"/>
      <c r="Q991" s="327"/>
      <c r="R991" s="276"/>
      <c r="S991" s="322"/>
      <c r="T991" s="322"/>
      <c r="U991" s="327"/>
      <c r="V991" s="335"/>
      <c r="W991" s="327"/>
      <c r="X991" s="327"/>
      <c r="Y991" s="327"/>
      <c r="Z991" s="107"/>
      <c r="AA991" s="335"/>
      <c r="AB991" s="335"/>
      <c r="AC991" s="327"/>
      <c r="AD991" s="327"/>
      <c r="AE991" s="327"/>
      <c r="AF991" s="327"/>
      <c r="AG991" s="327"/>
      <c r="AH991" s="327"/>
      <c r="AI991" s="327"/>
      <c r="AJ991" s="327"/>
      <c r="AK991" s="336"/>
      <c r="AL991" s="42"/>
    </row>
    <row r="992" spans="2:38" x14ac:dyDescent="0.25">
      <c r="B992" s="327"/>
      <c r="C992" s="327"/>
      <c r="D992" s="327"/>
      <c r="E992" s="327"/>
      <c r="F992" s="327"/>
      <c r="G992" s="327"/>
      <c r="H992" s="312"/>
      <c r="I992" s="327"/>
      <c r="J992" s="327"/>
      <c r="K992" s="334"/>
      <c r="L992" s="322"/>
      <c r="M992" s="322"/>
      <c r="N992" s="327"/>
      <c r="O992" s="327"/>
      <c r="P992" s="331"/>
      <c r="Q992" s="327"/>
      <c r="R992" s="276"/>
      <c r="S992" s="322"/>
      <c r="T992" s="322"/>
      <c r="U992" s="327"/>
      <c r="V992" s="335"/>
      <c r="W992" s="327"/>
      <c r="X992" s="327"/>
      <c r="Y992" s="327"/>
      <c r="Z992" s="107"/>
      <c r="AA992" s="335"/>
      <c r="AB992" s="335"/>
      <c r="AC992" s="327"/>
      <c r="AD992" s="327"/>
      <c r="AE992" s="327"/>
      <c r="AF992" s="327"/>
      <c r="AG992" s="327"/>
      <c r="AH992" s="327"/>
      <c r="AI992" s="327"/>
      <c r="AJ992" s="327"/>
      <c r="AK992" s="336"/>
      <c r="AL992" s="42"/>
    </row>
    <row r="993" spans="2:38" x14ac:dyDescent="0.25">
      <c r="B993" s="327"/>
      <c r="C993" s="327"/>
      <c r="D993" s="327"/>
      <c r="E993" s="327"/>
      <c r="F993" s="327"/>
      <c r="G993" s="327"/>
      <c r="H993" s="312"/>
      <c r="I993" s="327"/>
      <c r="J993" s="327"/>
      <c r="K993" s="334"/>
      <c r="L993" s="322"/>
      <c r="M993" s="322"/>
      <c r="N993" s="327"/>
      <c r="O993" s="327"/>
      <c r="P993" s="331"/>
      <c r="Q993" s="327"/>
      <c r="R993" s="276"/>
      <c r="S993" s="322"/>
      <c r="T993" s="322"/>
      <c r="U993" s="327"/>
      <c r="V993" s="335"/>
      <c r="W993" s="327"/>
      <c r="X993" s="327"/>
      <c r="Y993" s="327"/>
      <c r="Z993" s="107"/>
      <c r="AA993" s="335"/>
      <c r="AB993" s="335"/>
      <c r="AC993" s="327"/>
      <c r="AD993" s="327"/>
      <c r="AE993" s="327"/>
      <c r="AF993" s="327"/>
      <c r="AG993" s="327"/>
      <c r="AH993" s="327"/>
      <c r="AI993" s="327"/>
      <c r="AJ993" s="327"/>
      <c r="AK993" s="336"/>
      <c r="AL993" s="42"/>
    </row>
    <row r="994" spans="2:38" x14ac:dyDescent="0.25">
      <c r="B994" s="327"/>
      <c r="C994" s="327"/>
      <c r="D994" s="327"/>
      <c r="E994" s="327"/>
      <c r="F994" s="327"/>
      <c r="G994" s="327"/>
      <c r="H994" s="312"/>
      <c r="I994" s="327"/>
      <c r="J994" s="327"/>
      <c r="K994" s="334"/>
      <c r="L994" s="322"/>
      <c r="M994" s="322"/>
      <c r="N994" s="327"/>
      <c r="O994" s="327"/>
      <c r="P994" s="331"/>
      <c r="Q994" s="327"/>
      <c r="R994" s="276"/>
      <c r="S994" s="322"/>
      <c r="T994" s="322"/>
      <c r="U994" s="327"/>
      <c r="V994" s="335"/>
      <c r="W994" s="327"/>
      <c r="X994" s="327"/>
      <c r="Y994" s="327"/>
      <c r="Z994" s="107"/>
      <c r="AA994" s="335"/>
      <c r="AB994" s="335"/>
      <c r="AC994" s="327"/>
      <c r="AD994" s="327"/>
      <c r="AE994" s="327"/>
      <c r="AF994" s="327"/>
      <c r="AG994" s="327"/>
      <c r="AH994" s="327"/>
      <c r="AI994" s="327"/>
      <c r="AJ994" s="327"/>
      <c r="AK994" s="336"/>
      <c r="AL994" s="42"/>
    </row>
    <row r="995" spans="2:38" x14ac:dyDescent="0.25">
      <c r="B995" s="327"/>
      <c r="C995" s="327"/>
      <c r="D995" s="327"/>
      <c r="E995" s="327"/>
      <c r="F995" s="327"/>
      <c r="G995" s="327"/>
      <c r="H995" s="312"/>
      <c r="I995" s="327"/>
      <c r="J995" s="327"/>
      <c r="K995" s="334"/>
      <c r="L995" s="322"/>
      <c r="M995" s="322"/>
      <c r="N995" s="327"/>
      <c r="O995" s="327"/>
      <c r="P995" s="331"/>
      <c r="Q995" s="327"/>
      <c r="R995" s="276"/>
      <c r="S995" s="322"/>
      <c r="T995" s="322"/>
      <c r="U995" s="327"/>
      <c r="V995" s="335"/>
      <c r="W995" s="327"/>
      <c r="X995" s="327"/>
      <c r="Y995" s="327"/>
      <c r="Z995" s="107"/>
      <c r="AA995" s="335"/>
      <c r="AB995" s="335"/>
      <c r="AC995" s="327"/>
      <c r="AD995" s="327"/>
      <c r="AE995" s="327"/>
      <c r="AF995" s="327"/>
      <c r="AG995" s="327"/>
      <c r="AH995" s="327"/>
      <c r="AI995" s="327"/>
      <c r="AJ995" s="327"/>
      <c r="AK995" s="336"/>
      <c r="AL995" s="42"/>
    </row>
    <row r="996" spans="2:38" x14ac:dyDescent="0.25">
      <c r="B996" s="327"/>
      <c r="C996" s="327"/>
      <c r="D996" s="327"/>
      <c r="E996" s="327"/>
      <c r="F996" s="327"/>
      <c r="G996" s="327"/>
      <c r="H996" s="312"/>
      <c r="I996" s="327"/>
      <c r="J996" s="327"/>
      <c r="K996" s="334"/>
      <c r="L996" s="322"/>
      <c r="M996" s="322"/>
      <c r="N996" s="327"/>
      <c r="O996" s="327"/>
      <c r="P996" s="331"/>
      <c r="Q996" s="327"/>
      <c r="R996" s="276"/>
      <c r="S996" s="322"/>
      <c r="T996" s="322"/>
      <c r="U996" s="327"/>
      <c r="V996" s="335"/>
      <c r="W996" s="327"/>
      <c r="X996" s="327"/>
      <c r="Y996" s="327"/>
      <c r="Z996" s="107"/>
      <c r="AA996" s="335"/>
      <c r="AB996" s="335"/>
      <c r="AC996" s="327"/>
      <c r="AD996" s="327"/>
      <c r="AE996" s="327"/>
      <c r="AF996" s="327"/>
      <c r="AG996" s="327"/>
      <c r="AH996" s="327"/>
      <c r="AI996" s="327"/>
      <c r="AJ996" s="327"/>
      <c r="AK996" s="336"/>
      <c r="AL996" s="42"/>
    </row>
    <row r="997" spans="2:38" x14ac:dyDescent="0.25">
      <c r="B997" s="327"/>
      <c r="C997" s="327"/>
      <c r="D997" s="327"/>
      <c r="E997" s="327"/>
      <c r="F997" s="327"/>
      <c r="G997" s="327"/>
      <c r="H997" s="312"/>
      <c r="I997" s="327"/>
      <c r="J997" s="327"/>
      <c r="K997" s="334"/>
      <c r="L997" s="322"/>
      <c r="M997" s="322"/>
      <c r="N997" s="327"/>
      <c r="O997" s="327"/>
      <c r="P997" s="331"/>
      <c r="Q997" s="327"/>
      <c r="R997" s="276"/>
      <c r="S997" s="322"/>
      <c r="T997" s="322"/>
      <c r="U997" s="327"/>
      <c r="V997" s="335"/>
      <c r="W997" s="327"/>
      <c r="X997" s="327"/>
      <c r="Y997" s="327"/>
      <c r="Z997" s="107"/>
      <c r="AA997" s="335"/>
      <c r="AB997" s="335"/>
      <c r="AC997" s="327"/>
      <c r="AD997" s="327"/>
      <c r="AE997" s="327"/>
      <c r="AF997" s="327"/>
      <c r="AG997" s="327"/>
      <c r="AH997" s="327"/>
      <c r="AI997" s="327"/>
      <c r="AJ997" s="327"/>
      <c r="AK997" s="336"/>
      <c r="AL997" s="42"/>
    </row>
    <row r="998" spans="2:38" x14ac:dyDescent="0.25">
      <c r="B998" s="327"/>
      <c r="C998" s="327"/>
      <c r="D998" s="327"/>
      <c r="E998" s="327"/>
      <c r="F998" s="327"/>
      <c r="G998" s="327"/>
      <c r="H998" s="312"/>
      <c r="I998" s="327"/>
      <c r="J998" s="327"/>
      <c r="K998" s="334"/>
      <c r="L998" s="322"/>
      <c r="M998" s="322"/>
      <c r="N998" s="327"/>
      <c r="O998" s="327"/>
      <c r="P998" s="331"/>
      <c r="Q998" s="327"/>
      <c r="R998" s="119"/>
      <c r="S998" s="322"/>
      <c r="T998" s="322"/>
      <c r="U998" s="327"/>
      <c r="V998" s="335"/>
      <c r="W998" s="327"/>
      <c r="X998" s="327"/>
      <c r="Y998" s="327"/>
      <c r="Z998" s="107"/>
      <c r="AA998" s="335"/>
      <c r="AB998" s="335"/>
      <c r="AC998" s="327"/>
      <c r="AD998" s="327"/>
      <c r="AE998" s="327"/>
      <c r="AF998" s="327"/>
      <c r="AG998" s="327"/>
      <c r="AH998" s="327"/>
      <c r="AI998" s="327"/>
      <c r="AJ998" s="327"/>
      <c r="AK998" s="336"/>
      <c r="AL998" s="42"/>
    </row>
    <row r="999" spans="2:38" x14ac:dyDescent="0.25">
      <c r="H999" s="312"/>
    </row>
  </sheetData>
  <sheetProtection selectLockedCells="1"/>
  <mergeCells count="21">
    <mergeCell ref="P8:P9"/>
    <mergeCell ref="N6:O6"/>
    <mergeCell ref="P6:Q6"/>
    <mergeCell ref="H5:L5"/>
    <mergeCell ref="N5:Q5"/>
    <mergeCell ref="H6:J6"/>
    <mergeCell ref="K6:L6"/>
    <mergeCell ref="L1:M1"/>
    <mergeCell ref="D56:G56"/>
    <mergeCell ref="C26:F26"/>
    <mergeCell ref="I47:J47"/>
    <mergeCell ref="C47:D47"/>
    <mergeCell ref="A1:K1"/>
    <mergeCell ref="A2:K2"/>
    <mergeCell ref="A3:K3"/>
    <mergeCell ref="L4:M4"/>
    <mergeCell ref="E30:F30"/>
    <mergeCell ref="E31:F31"/>
    <mergeCell ref="E32:F32"/>
    <mergeCell ref="E33:F33"/>
    <mergeCell ref="E29:F29"/>
  </mergeCells>
  <phoneticPr fontId="1" type="noConversion"/>
  <dataValidations disablePrompts="1" count="1">
    <dataValidation type="decimal" errorStyle="warning" allowBlank="1" showErrorMessage="1" errorTitle="输入错误！" error="温度超限，请在检查数据后重新输入！" sqref="L57" xr:uid="{00000000-0002-0000-0100-000000000000}">
      <formula1>0.5</formula1>
      <formula2>35.1</formula2>
    </dataValidation>
  </dataValidations>
  <pageMargins left="0.70866141732283472" right="0.70866141732283472" top="0.74803149606299213" bottom="0.74803149606299213" header="0.31496062992125984" footer="0.31496062992125984"/>
  <pageSetup paperSize="9" orientation="landscape" horizontalDpi="300" verticalDpi="300" r:id="rId1"/>
  <ignoredErrors>
    <ignoredError sqref="C51" unlockedFormula="1"/>
  </ignoredErrors>
  <drawing r:id="rId2"/>
  <legacyDrawing r:id="rId3"/>
  <controls>
    <mc:AlternateContent xmlns:mc="http://schemas.openxmlformats.org/markup-compatibility/2006">
      <mc:Choice Requires="x14">
        <control shapeId="1122" r:id="rId4" name="CommandButton1">
          <controlPr defaultSize="0" autoLine="0" r:id="rId5">
            <anchor moveWithCells="1">
              <from>
                <xdr:col>19</xdr:col>
                <xdr:colOff>38100</xdr:colOff>
                <xdr:row>7</xdr:row>
                <xdr:rowOff>137160</xdr:rowOff>
              </from>
              <to>
                <xdr:col>28</xdr:col>
                <xdr:colOff>342900</xdr:colOff>
                <xdr:row>9</xdr:row>
                <xdr:rowOff>76200</xdr:rowOff>
              </to>
            </anchor>
          </controlPr>
        </control>
      </mc:Choice>
      <mc:Fallback>
        <control shapeId="1122" r:id="rId4" name="CommandButton1"/>
      </mc:Fallback>
    </mc:AlternateContent>
    <mc:AlternateContent xmlns:mc="http://schemas.openxmlformats.org/markup-compatibility/2006">
      <mc:Choice Requires="x14">
        <control shapeId="1025" r:id="rId6" name="Option Button 1">
          <controlPr defaultSize="0" autoFill="0" autoLine="0" autoPict="0" macro="[0]!选项按钮20_Click" altText="使用默认值">
            <anchor moveWithCells="1">
              <from>
                <xdr:col>4</xdr:col>
                <xdr:colOff>99060</xdr:colOff>
                <xdr:row>16</xdr:row>
                <xdr:rowOff>60960</xdr:rowOff>
              </from>
              <to>
                <xdr:col>5</xdr:col>
                <xdr:colOff>365760</xdr:colOff>
                <xdr:row>17</xdr:row>
                <xdr:rowOff>53340</xdr:rowOff>
              </to>
            </anchor>
          </controlPr>
        </control>
      </mc:Choice>
    </mc:AlternateContent>
    <mc:AlternateContent xmlns:mc="http://schemas.openxmlformats.org/markup-compatibility/2006">
      <mc:Choice Requires="x14">
        <control shapeId="1028" r:id="rId7" name="Option Button 4">
          <controlPr defaultSize="0" autoFill="0" autoLine="0" autoPict="0" macro="[0]!控制按钮34_click">
            <anchor moveWithCells="1">
              <from>
                <xdr:col>4</xdr:col>
                <xdr:colOff>114300</xdr:colOff>
                <xdr:row>22</xdr:row>
                <xdr:rowOff>137160</xdr:rowOff>
              </from>
              <to>
                <xdr:col>5</xdr:col>
                <xdr:colOff>381000</xdr:colOff>
                <xdr:row>23</xdr:row>
                <xdr:rowOff>60960</xdr:rowOff>
              </to>
            </anchor>
          </controlPr>
        </control>
      </mc:Choice>
    </mc:AlternateContent>
    <mc:AlternateContent xmlns:mc="http://schemas.openxmlformats.org/markup-compatibility/2006">
      <mc:Choice Requires="x14">
        <control shapeId="1032" r:id="rId8" name="Option Button 8">
          <controlPr defaultSize="0" autoFill="0" autoLine="0" autoPict="0" macro="[0]!控制按钮40_click">
            <anchor moveWithCells="1">
              <from>
                <xdr:col>8</xdr:col>
                <xdr:colOff>0</xdr:colOff>
                <xdr:row>5</xdr:row>
                <xdr:rowOff>0</xdr:rowOff>
              </from>
              <to>
                <xdr:col>10</xdr:col>
                <xdr:colOff>137160</xdr:colOff>
                <xdr:row>6</xdr:row>
                <xdr:rowOff>22860</xdr:rowOff>
              </to>
            </anchor>
          </controlPr>
        </control>
      </mc:Choice>
    </mc:AlternateContent>
    <mc:AlternateContent xmlns:mc="http://schemas.openxmlformats.org/markup-compatibility/2006">
      <mc:Choice Requires="x14">
        <control shapeId="1033" r:id="rId9" name="Option Button 9">
          <controlPr defaultSize="0" autoFill="0" autoLine="0" autoPict="0" macro="[0]!控制按钮41_click">
            <anchor moveWithCells="1">
              <from>
                <xdr:col>6</xdr:col>
                <xdr:colOff>396240</xdr:colOff>
                <xdr:row>5</xdr:row>
                <xdr:rowOff>22860</xdr:rowOff>
              </from>
              <to>
                <xdr:col>7</xdr:col>
                <xdr:colOff>609600</xdr:colOff>
                <xdr:row>6</xdr:row>
                <xdr:rowOff>0</xdr:rowOff>
              </to>
            </anchor>
          </controlPr>
        </control>
      </mc:Choice>
    </mc:AlternateContent>
    <mc:AlternateContent xmlns:mc="http://schemas.openxmlformats.org/markup-compatibility/2006">
      <mc:Choice Requires="x14">
        <control shapeId="1034" r:id="rId10" name="Group Box 10">
          <controlPr defaultSize="0" autoFill="0" autoPict="0">
            <anchor moveWithCells="1">
              <from>
                <xdr:col>6</xdr:col>
                <xdr:colOff>137160</xdr:colOff>
                <xdr:row>4</xdr:row>
                <xdr:rowOff>91440</xdr:rowOff>
              </from>
              <to>
                <xdr:col>12</xdr:col>
                <xdr:colOff>518160</xdr:colOff>
                <xdr:row>8</xdr:row>
                <xdr:rowOff>137160</xdr:rowOff>
              </to>
            </anchor>
          </controlPr>
        </control>
      </mc:Choice>
    </mc:AlternateContent>
    <mc:AlternateContent xmlns:mc="http://schemas.openxmlformats.org/markup-compatibility/2006">
      <mc:Choice Requires="x14">
        <control shapeId="1038" r:id="rId11" name="Group Box 14">
          <controlPr defaultSize="0" autoFill="0" autoPict="0">
            <anchor moveWithCells="1">
              <from>
                <xdr:col>0</xdr:col>
                <xdr:colOff>106680</xdr:colOff>
                <xdr:row>9</xdr:row>
                <xdr:rowOff>91440</xdr:rowOff>
              </from>
              <to>
                <xdr:col>5</xdr:col>
                <xdr:colOff>434340</xdr:colOff>
                <xdr:row>14</xdr:row>
                <xdr:rowOff>91440</xdr:rowOff>
              </to>
            </anchor>
          </controlPr>
        </control>
      </mc:Choice>
    </mc:AlternateContent>
    <mc:AlternateContent xmlns:mc="http://schemas.openxmlformats.org/markup-compatibility/2006">
      <mc:Choice Requires="x14">
        <control shapeId="1039" r:id="rId12" name="Group Box 15">
          <controlPr defaultSize="0" autoFill="0" autoPict="0">
            <anchor moveWithCells="1">
              <from>
                <xdr:col>0</xdr:col>
                <xdr:colOff>152400</xdr:colOff>
                <xdr:row>15</xdr:row>
                <xdr:rowOff>22860</xdr:rowOff>
              </from>
              <to>
                <xdr:col>5</xdr:col>
                <xdr:colOff>480060</xdr:colOff>
                <xdr:row>19</xdr:row>
                <xdr:rowOff>99060</xdr:rowOff>
              </to>
            </anchor>
          </controlPr>
        </control>
      </mc:Choice>
    </mc:AlternateContent>
    <mc:AlternateContent xmlns:mc="http://schemas.openxmlformats.org/markup-compatibility/2006">
      <mc:Choice Requires="x14">
        <control shapeId="1040" r:id="rId13" name="Group Box 16">
          <controlPr defaultSize="0" autoFill="0" autoPict="0">
            <anchor moveWithCells="1">
              <from>
                <xdr:col>0</xdr:col>
                <xdr:colOff>137160</xdr:colOff>
                <xdr:row>20</xdr:row>
                <xdr:rowOff>22860</xdr:rowOff>
              </from>
              <to>
                <xdr:col>5</xdr:col>
                <xdr:colOff>480060</xdr:colOff>
                <xdr:row>25</xdr:row>
                <xdr:rowOff>91440</xdr:rowOff>
              </to>
            </anchor>
          </controlPr>
        </control>
      </mc:Choice>
    </mc:AlternateContent>
    <mc:AlternateContent xmlns:mc="http://schemas.openxmlformats.org/markup-compatibility/2006">
      <mc:Choice Requires="x14">
        <control shapeId="1041" r:id="rId14" name="Group Box 17">
          <controlPr defaultSize="0" autoFill="0" autoPict="0">
            <anchor moveWithCells="1">
              <from>
                <xdr:col>0</xdr:col>
                <xdr:colOff>91440</xdr:colOff>
                <xdr:row>4</xdr:row>
                <xdr:rowOff>99060</xdr:rowOff>
              </from>
              <to>
                <xdr:col>5</xdr:col>
                <xdr:colOff>434340</xdr:colOff>
                <xdr:row>8</xdr:row>
                <xdr:rowOff>205740</xdr:rowOff>
              </to>
            </anchor>
          </controlPr>
        </control>
      </mc:Choice>
    </mc:AlternateContent>
    <mc:AlternateContent xmlns:mc="http://schemas.openxmlformats.org/markup-compatibility/2006">
      <mc:Choice Requires="x14">
        <control shapeId="1044" r:id="rId15" name="Option Button 20">
          <controlPr defaultSize="0" autoFill="0" autoLine="0" autoPict="0" macro="[0]!控制按钮9_click">
            <anchor moveWithCells="1">
              <from>
                <xdr:col>4</xdr:col>
                <xdr:colOff>68580</xdr:colOff>
                <xdr:row>10</xdr:row>
                <xdr:rowOff>106680</xdr:rowOff>
              </from>
              <to>
                <xdr:col>5</xdr:col>
                <xdr:colOff>0</xdr:colOff>
                <xdr:row>11</xdr:row>
                <xdr:rowOff>60960</xdr:rowOff>
              </to>
            </anchor>
          </controlPr>
        </control>
      </mc:Choice>
    </mc:AlternateContent>
    <mc:AlternateContent xmlns:mc="http://schemas.openxmlformats.org/markup-compatibility/2006">
      <mc:Choice Requires="x14">
        <control shapeId="1045" r:id="rId16" name="Option Button 21">
          <controlPr defaultSize="0" autoFill="0" autoLine="0" autoPict="0" macro="[0]!选项按钮17_Click">
            <anchor moveWithCells="1">
              <from>
                <xdr:col>4</xdr:col>
                <xdr:colOff>68580</xdr:colOff>
                <xdr:row>12</xdr:row>
                <xdr:rowOff>0</xdr:rowOff>
              </from>
              <to>
                <xdr:col>5</xdr:col>
                <xdr:colOff>0</xdr:colOff>
                <xdr:row>12</xdr:row>
                <xdr:rowOff>182880</xdr:rowOff>
              </to>
            </anchor>
          </controlPr>
        </control>
      </mc:Choice>
    </mc:AlternateContent>
    <mc:AlternateContent xmlns:mc="http://schemas.openxmlformats.org/markup-compatibility/2006">
      <mc:Choice Requires="x14">
        <control shapeId="1120" r:id="rId17" name="ErosionMethod">
          <controlPr defaultSize="0" print="0" autoLine="0" autoPict="0" macro="[0]!RrosionMethodChange" altText="Swithing the candidate methods to consider the erosion rate of sediments:_x000a_">
            <anchor>
              <from>
                <xdr:col>9</xdr:col>
                <xdr:colOff>403860</xdr:colOff>
                <xdr:row>17</xdr:row>
                <xdr:rowOff>182880</xdr:rowOff>
              </from>
              <to>
                <xdr:col>11</xdr:col>
                <xdr:colOff>1005840</xdr:colOff>
                <xdr:row>19</xdr:row>
                <xdr:rowOff>106680</xdr:rowOff>
              </to>
            </anchor>
          </controlPr>
        </control>
      </mc:Choice>
    </mc:AlternateContent>
    <mc:AlternateContent xmlns:mc="http://schemas.openxmlformats.org/markup-compatibility/2006">
      <mc:Choice Requires="x14">
        <control shapeId="19297" r:id="rId18" name="Option Button 2913">
          <controlPr defaultSize="0" autoFill="0" autoLine="0" autoPict="0" macro="[0]!选项按钮18_Click">
            <anchor moveWithCells="1">
              <from>
                <xdr:col>4</xdr:col>
                <xdr:colOff>91440</xdr:colOff>
                <xdr:row>18</xdr:row>
                <xdr:rowOff>22860</xdr:rowOff>
              </from>
              <to>
                <xdr:col>5</xdr:col>
                <xdr:colOff>342900</xdr:colOff>
                <xdr:row>19</xdr:row>
                <xdr:rowOff>53340</xdr:rowOff>
              </to>
            </anchor>
          </controlPr>
        </control>
      </mc:Choice>
    </mc:AlternateContent>
    <mc:AlternateContent xmlns:mc="http://schemas.openxmlformats.org/markup-compatibility/2006">
      <mc:Choice Requires="x14">
        <control shapeId="19300" r:id="rId19" name="Group Box 2916">
          <controlPr defaultSize="0" autoFill="0" autoPict="0">
            <anchor moveWithCells="1">
              <from>
                <xdr:col>6</xdr:col>
                <xdr:colOff>137160</xdr:colOff>
                <xdr:row>13</xdr:row>
                <xdr:rowOff>152400</xdr:rowOff>
              </from>
              <to>
                <xdr:col>12</xdr:col>
                <xdr:colOff>525780</xdr:colOff>
                <xdr:row>21</xdr:row>
                <xdr:rowOff>53340</xdr:rowOff>
              </to>
            </anchor>
          </controlPr>
        </control>
      </mc:Choice>
    </mc:AlternateContent>
    <mc:AlternateContent xmlns:mc="http://schemas.openxmlformats.org/markup-compatibility/2006">
      <mc:Choice Requires="x14">
        <control shapeId="19301" r:id="rId20" name="Group Box 2917">
          <controlPr defaultSize="0" autoFill="0" autoPict="0">
            <anchor moveWithCells="1">
              <from>
                <xdr:col>6</xdr:col>
                <xdr:colOff>114300</xdr:colOff>
                <xdr:row>21</xdr:row>
                <xdr:rowOff>182880</xdr:rowOff>
              </from>
              <to>
                <xdr:col>12</xdr:col>
                <xdr:colOff>518160</xdr:colOff>
                <xdr:row>25</xdr:row>
                <xdr:rowOff>106680</xdr:rowOff>
              </to>
            </anchor>
          </controlPr>
        </control>
      </mc:Choice>
    </mc:AlternateContent>
    <mc:AlternateContent xmlns:mc="http://schemas.openxmlformats.org/markup-compatibility/2006">
      <mc:Choice Requires="x14">
        <control shapeId="19302" r:id="rId21" name="Button 2918">
          <controlPr defaultSize="0" print="0" autoFill="0" autoPict="0" macro="[0]!datacal2">
            <anchor moveWithCells="1" sizeWithCells="1">
              <from>
                <xdr:col>8</xdr:col>
                <xdr:colOff>289560</xdr:colOff>
                <xdr:row>22</xdr:row>
                <xdr:rowOff>144780</xdr:rowOff>
              </from>
              <to>
                <xdr:col>9</xdr:col>
                <xdr:colOff>754380</xdr:colOff>
                <xdr:row>24</xdr:row>
                <xdr:rowOff>175260</xdr:rowOff>
              </to>
            </anchor>
          </controlPr>
        </control>
      </mc:Choice>
    </mc:AlternateContent>
    <mc:AlternateContent xmlns:mc="http://schemas.openxmlformats.org/markup-compatibility/2006">
      <mc:Choice Requires="x14">
        <control shapeId="19303" r:id="rId22" name="Group Box 2919">
          <controlPr defaultSize="0" autoFill="0" autoPict="0">
            <anchor moveWithCells="1">
              <from>
                <xdr:col>6</xdr:col>
                <xdr:colOff>137160</xdr:colOff>
                <xdr:row>9</xdr:row>
                <xdr:rowOff>0</xdr:rowOff>
              </from>
              <to>
                <xdr:col>12</xdr:col>
                <xdr:colOff>518160</xdr:colOff>
                <xdr:row>13</xdr:row>
                <xdr:rowOff>30480</xdr:rowOff>
              </to>
            </anchor>
          </controlPr>
        </control>
      </mc:Choice>
    </mc:AlternateContent>
    <mc:AlternateContent xmlns:mc="http://schemas.openxmlformats.org/markup-compatibility/2006">
      <mc:Choice Requires="x14">
        <control shapeId="19304" r:id="rId23" name="Option Button 2920">
          <controlPr defaultSize="0" autoFill="0" autoLine="0" autoPict="0" macro="[0]!m2_Click">
            <anchor moveWithCells="1">
              <from>
                <xdr:col>11</xdr:col>
                <xdr:colOff>441960</xdr:colOff>
                <xdr:row>12</xdr:row>
                <xdr:rowOff>91440</xdr:rowOff>
              </from>
              <to>
                <xdr:col>12</xdr:col>
                <xdr:colOff>327660</xdr:colOff>
                <xdr:row>13</xdr:row>
                <xdr:rowOff>22860</xdr:rowOff>
              </to>
            </anchor>
          </controlPr>
        </control>
      </mc:Choice>
    </mc:AlternateContent>
    <mc:AlternateContent xmlns:mc="http://schemas.openxmlformats.org/markup-compatibility/2006">
      <mc:Choice Requires="x14">
        <control shapeId="19306" r:id="rId24" name="Option Button 2922">
          <controlPr defaultSize="0" autoFill="0" autoLine="0" autoPict="0" macro="[0]!m1_Click" altText="使用默认值">
            <anchor moveWithCells="1">
              <from>
                <xdr:col>9</xdr:col>
                <xdr:colOff>792480</xdr:colOff>
                <xdr:row>12</xdr:row>
                <xdr:rowOff>38100</xdr:rowOff>
              </from>
              <to>
                <xdr:col>11</xdr:col>
                <xdr:colOff>320040</xdr:colOff>
                <xdr:row>13</xdr:row>
                <xdr:rowOff>22860</xdr:rowOff>
              </to>
            </anchor>
          </controlPr>
        </control>
      </mc:Choice>
    </mc:AlternateContent>
    <mc:AlternateContent xmlns:mc="http://schemas.openxmlformats.org/markup-compatibility/2006">
      <mc:Choice Requires="x14">
        <control shapeId="1031" r:id="rId25" name="Group Box 7">
          <controlPr defaultSize="0" autoFill="0" autoPict="0">
            <anchor moveWithCells="1">
              <from>
                <xdr:col>0</xdr:col>
                <xdr:colOff>152400</xdr:colOff>
                <xdr:row>27</xdr:row>
                <xdr:rowOff>0</xdr:rowOff>
              </from>
              <to>
                <xdr:col>11</xdr:col>
                <xdr:colOff>1028700</xdr:colOff>
                <xdr:row>48</xdr:row>
                <xdr:rowOff>152400</xdr:rowOff>
              </to>
            </anchor>
          </controlPr>
        </control>
      </mc:Choice>
    </mc:AlternateContent>
    <mc:AlternateContent xmlns:mc="http://schemas.openxmlformats.org/markup-compatibility/2006">
      <mc:Choice Requires="x14">
        <control shapeId="19308" r:id="rId26" name="Button 2924">
          <controlPr defaultSize="0" print="0" autoFill="0" autoPict="0" macro="[0]!ThisWorkbook.SwitchToChn">
            <anchor moveWithCells="1" sizeWithCells="1">
              <from>
                <xdr:col>11</xdr:col>
                <xdr:colOff>129540</xdr:colOff>
                <xdr:row>0</xdr:row>
                <xdr:rowOff>457200</xdr:rowOff>
              </from>
              <to>
                <xdr:col>12</xdr:col>
                <xdr:colOff>662940</xdr:colOff>
                <xdr:row>2</xdr:row>
                <xdr:rowOff>320040</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X64"/>
  <sheetViews>
    <sheetView topLeftCell="A4" zoomScale="85" zoomScaleNormal="85" workbookViewId="0">
      <selection activeCell="F29" sqref="F29:L56"/>
    </sheetView>
  </sheetViews>
  <sheetFormatPr defaultRowHeight="14.4" x14ac:dyDescent="0.25"/>
  <cols>
    <col min="3" max="3" width="14.33203125" customWidth="1"/>
    <col min="4" max="4" width="11.109375" bestFit="1" customWidth="1"/>
    <col min="6" max="12" width="10.77734375" customWidth="1"/>
    <col min="13" max="13" width="11.21875" customWidth="1"/>
    <col min="14" max="14" width="16.109375" customWidth="1"/>
    <col min="15" max="18" width="10.77734375" customWidth="1"/>
  </cols>
  <sheetData>
    <row r="1" spans="1:50" s="2" customFormat="1" ht="39.75" customHeight="1" x14ac:dyDescent="0.25">
      <c r="A1" s="433" t="s">
        <v>109</v>
      </c>
      <c r="B1" s="433"/>
      <c r="C1" s="433"/>
      <c r="D1" s="433"/>
      <c r="E1" s="433"/>
      <c r="F1" s="433"/>
      <c r="G1" s="433"/>
      <c r="H1" s="433"/>
      <c r="I1" s="433"/>
      <c r="J1" s="433"/>
      <c r="K1" s="433"/>
      <c r="L1" s="433"/>
      <c r="M1" s="433"/>
      <c r="N1" s="433"/>
      <c r="O1" s="433"/>
      <c r="P1" s="433"/>
      <c r="Q1" s="433"/>
      <c r="R1" s="433"/>
      <c r="S1" s="433"/>
      <c r="T1" s="44"/>
      <c r="U1" s="44"/>
      <c r="V1" s="44"/>
      <c r="W1" s="44"/>
      <c r="X1" s="44"/>
      <c r="Y1" s="9"/>
      <c r="Z1" s="9"/>
      <c r="AA1" s="9"/>
      <c r="AB1" s="9"/>
      <c r="AC1" s="9"/>
      <c r="AD1" s="9"/>
      <c r="AE1" s="9"/>
      <c r="AF1" s="9"/>
      <c r="AG1" s="9"/>
      <c r="AH1" s="9"/>
      <c r="AI1" s="9"/>
      <c r="AJ1" s="9"/>
      <c r="AK1" s="9"/>
      <c r="AL1" s="9"/>
      <c r="AM1" s="9"/>
      <c r="AN1" s="9"/>
      <c r="AO1" s="9"/>
      <c r="AP1" s="9"/>
      <c r="AQ1" s="9"/>
      <c r="AR1" s="9"/>
      <c r="AS1" s="9"/>
      <c r="AT1" s="9"/>
      <c r="AU1" s="9"/>
      <c r="AV1" s="9"/>
      <c r="AW1" s="9"/>
      <c r="AX1" s="9"/>
    </row>
    <row r="2" spans="1:50" s="3" customFormat="1" ht="22.5" customHeight="1" x14ac:dyDescent="0.25">
      <c r="A2" s="434" t="s">
        <v>64</v>
      </c>
      <c r="B2" s="434"/>
      <c r="C2" s="434"/>
      <c r="D2" s="434"/>
      <c r="E2" s="434"/>
      <c r="F2" s="434"/>
      <c r="G2" s="434"/>
      <c r="H2" s="434"/>
      <c r="I2" s="434"/>
      <c r="J2" s="434"/>
      <c r="K2" s="434"/>
      <c r="L2" s="434"/>
      <c r="M2" s="434"/>
      <c r="N2" s="434"/>
      <c r="O2" s="434"/>
      <c r="P2" s="434"/>
      <c r="Q2" s="434"/>
      <c r="R2" s="434"/>
      <c r="S2" s="434"/>
      <c r="T2" s="45"/>
      <c r="U2" s="45"/>
      <c r="V2" s="45"/>
      <c r="W2" s="45"/>
      <c r="X2" s="45"/>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50" s="2" customFormat="1" ht="33" customHeight="1" x14ac:dyDescent="0.25">
      <c r="A3" s="435" t="s">
        <v>0</v>
      </c>
      <c r="B3" s="435"/>
      <c r="C3" s="435"/>
      <c r="D3" s="435"/>
      <c r="E3" s="435"/>
      <c r="F3" s="435"/>
      <c r="G3" s="435"/>
      <c r="H3" s="435"/>
      <c r="I3" s="435"/>
      <c r="J3" s="435"/>
      <c r="K3" s="435"/>
      <c r="L3" s="435"/>
      <c r="M3" s="435"/>
      <c r="N3" s="435"/>
      <c r="O3" s="435"/>
      <c r="P3" s="435"/>
      <c r="Q3" s="435"/>
      <c r="R3" s="435"/>
      <c r="S3" s="435"/>
      <c r="T3" s="46"/>
      <c r="U3" s="46"/>
      <c r="V3" s="46"/>
      <c r="W3" s="46"/>
      <c r="X3" s="46"/>
      <c r="Y3" s="9"/>
      <c r="Z3" s="9"/>
      <c r="AA3" s="9"/>
      <c r="AB3" s="9"/>
      <c r="AC3" s="9"/>
      <c r="AD3" s="9"/>
      <c r="AE3" s="9"/>
      <c r="AF3" s="9"/>
      <c r="AG3" s="9"/>
      <c r="AH3" s="9"/>
      <c r="AI3" s="9"/>
      <c r="AJ3" s="9"/>
      <c r="AK3" s="9"/>
      <c r="AL3" s="9"/>
      <c r="AM3" s="9"/>
      <c r="AN3" s="9"/>
      <c r="AO3" s="9"/>
      <c r="AP3" s="9"/>
      <c r="AQ3" s="9"/>
      <c r="AR3" s="9"/>
      <c r="AS3" s="9"/>
      <c r="AT3" s="9"/>
      <c r="AU3" s="9"/>
      <c r="AV3" s="9"/>
      <c r="AW3" s="9"/>
      <c r="AX3" s="9"/>
    </row>
    <row r="4" spans="1:50" x14ac:dyDescent="0.25">
      <c r="A4" s="5"/>
      <c r="B4" s="439"/>
      <c r="C4" s="439"/>
      <c r="D4" s="439"/>
      <c r="E4" s="439"/>
      <c r="F4" s="5"/>
      <c r="G4" s="14"/>
      <c r="H4" s="14"/>
      <c r="I4" s="14"/>
      <c r="J4" s="14"/>
      <c r="K4" s="14"/>
      <c r="L4" s="14"/>
      <c r="M4" s="14"/>
      <c r="N4" s="14"/>
      <c r="O4" s="14"/>
      <c r="P4" s="14"/>
      <c r="Q4" s="14"/>
      <c r="R4" s="14"/>
      <c r="S4" s="14"/>
      <c r="Z4" s="22" t="s">
        <v>102</v>
      </c>
      <c r="AA4" s="22" t="s">
        <v>103</v>
      </c>
    </row>
    <row r="5" spans="1:50" x14ac:dyDescent="0.25">
      <c r="A5" s="7"/>
      <c r="B5" s="440"/>
      <c r="C5" s="440"/>
      <c r="D5" s="440"/>
      <c r="E5" s="440"/>
      <c r="F5" s="7"/>
      <c r="G5" s="14"/>
      <c r="H5" s="14"/>
      <c r="I5" s="14"/>
      <c r="J5" s="14"/>
      <c r="K5" s="14"/>
      <c r="L5" s="14"/>
      <c r="M5" s="14"/>
      <c r="N5" s="14"/>
      <c r="O5" s="14"/>
      <c r="P5" s="14"/>
      <c r="Q5" s="14"/>
      <c r="R5" s="14"/>
      <c r="S5" s="14"/>
      <c r="Z5" s="23">
        <v>667</v>
      </c>
      <c r="AA5" s="23">
        <v>0</v>
      </c>
    </row>
    <row r="6" spans="1:50" ht="18.75" customHeight="1" x14ac:dyDescent="0.25">
      <c r="A6" s="5"/>
      <c r="B6" s="445" t="s">
        <v>100</v>
      </c>
      <c r="C6" s="446"/>
      <c r="D6" s="447" t="s">
        <v>99</v>
      </c>
      <c r="E6" s="448"/>
      <c r="F6" s="5"/>
      <c r="G6" s="441" t="s">
        <v>262</v>
      </c>
      <c r="H6" s="441"/>
      <c r="I6" s="441"/>
      <c r="J6" s="441"/>
      <c r="K6" s="441"/>
      <c r="L6" s="14"/>
      <c r="M6" s="287" t="s">
        <v>256</v>
      </c>
      <c r="N6" s="291">
        <f>'W.H curve'!G47</f>
        <v>1.6889355742296937E-2</v>
      </c>
      <c r="O6" s="444" t="s">
        <v>65</v>
      </c>
      <c r="P6" s="444"/>
      <c r="Q6" s="6"/>
      <c r="R6" s="14"/>
      <c r="S6" s="14"/>
      <c r="Z6" s="47">
        <v>670</v>
      </c>
      <c r="AA6" s="23">
        <v>214</v>
      </c>
    </row>
    <row r="7" spans="1:50" ht="18.75" customHeight="1" x14ac:dyDescent="0.25">
      <c r="A7" s="5"/>
      <c r="B7" s="449" t="s">
        <v>68</v>
      </c>
      <c r="C7" s="450"/>
      <c r="D7" s="449" t="s">
        <v>254</v>
      </c>
      <c r="E7" s="450"/>
      <c r="F7" s="5"/>
      <c r="G7" s="441"/>
      <c r="H7" s="441"/>
      <c r="I7" s="441"/>
      <c r="J7" s="441"/>
      <c r="K7" s="441"/>
      <c r="L7" s="14"/>
      <c r="M7" s="287" t="s">
        <v>257</v>
      </c>
      <c r="N7" s="291">
        <f>G46</f>
        <v>2.2049299719882721E-2</v>
      </c>
      <c r="O7" s="444" t="s">
        <v>65</v>
      </c>
      <c r="P7" s="444"/>
      <c r="Q7" s="13"/>
      <c r="R7" s="14"/>
      <c r="S7" s="14"/>
      <c r="Z7" s="21">
        <v>680</v>
      </c>
      <c r="AA7" s="23">
        <v>1280</v>
      </c>
    </row>
    <row r="8" spans="1:50" ht="18" x14ac:dyDescent="0.25">
      <c r="A8" s="5"/>
      <c r="B8" s="285" t="s">
        <v>251</v>
      </c>
      <c r="C8" s="288">
        <v>1480.65</v>
      </c>
      <c r="D8" s="286" t="s">
        <v>259</v>
      </c>
      <c r="E8" s="289">
        <v>0.2858</v>
      </c>
      <c r="F8" s="5"/>
      <c r="G8" s="441"/>
      <c r="H8" s="441"/>
      <c r="I8" s="441"/>
      <c r="J8" s="441"/>
      <c r="K8" s="441"/>
      <c r="L8" s="14"/>
      <c r="M8" s="287" t="s">
        <v>258</v>
      </c>
      <c r="N8" s="291">
        <f>G45</f>
        <v>5.5140462184875005E-2</v>
      </c>
      <c r="O8" s="444" t="s">
        <v>65</v>
      </c>
      <c r="P8" s="444"/>
      <c r="Q8" s="13"/>
      <c r="R8" s="14"/>
      <c r="S8" s="14"/>
      <c r="Z8" s="21">
        <v>690</v>
      </c>
      <c r="AA8" s="23">
        <v>2345</v>
      </c>
    </row>
    <row r="9" spans="1:50" ht="16.2" x14ac:dyDescent="0.25">
      <c r="A9" s="5"/>
      <c r="B9" s="285" t="s">
        <v>252</v>
      </c>
      <c r="C9" s="288">
        <v>1494.65</v>
      </c>
      <c r="D9" s="286" t="s">
        <v>260</v>
      </c>
      <c r="E9" s="289">
        <v>5.3708</v>
      </c>
      <c r="F9" s="5"/>
      <c r="G9" s="14"/>
      <c r="H9" s="14"/>
      <c r="I9" s="14"/>
      <c r="J9" s="14"/>
      <c r="K9" s="14"/>
      <c r="L9" s="14"/>
      <c r="M9" s="443"/>
      <c r="N9" s="443"/>
      <c r="O9" s="443"/>
      <c r="P9" s="14"/>
      <c r="Q9" s="13"/>
      <c r="R9" s="14"/>
      <c r="S9" s="14"/>
      <c r="Z9" s="21">
        <v>700</v>
      </c>
      <c r="AA9" s="23">
        <v>4302</v>
      </c>
    </row>
    <row r="10" spans="1:50" ht="16.2" x14ac:dyDescent="0.25">
      <c r="A10" s="5"/>
      <c r="B10" s="285" t="s">
        <v>253</v>
      </c>
      <c r="C10" s="290">
        <v>1497.65</v>
      </c>
      <c r="D10" s="286" t="s">
        <v>261</v>
      </c>
      <c r="E10" s="289">
        <v>7.3217999999999996</v>
      </c>
      <c r="F10" s="5"/>
      <c r="G10" s="14"/>
      <c r="H10" s="14"/>
      <c r="I10" s="14"/>
      <c r="J10" s="14"/>
      <c r="K10" s="14"/>
      <c r="L10" s="14"/>
      <c r="M10" s="14"/>
      <c r="N10" s="14"/>
      <c r="O10" s="14"/>
      <c r="P10" s="14"/>
      <c r="Q10" s="15"/>
      <c r="R10" s="14"/>
      <c r="S10" s="14"/>
      <c r="Z10" s="21">
        <v>710</v>
      </c>
      <c r="AA10" s="23">
        <v>7130</v>
      </c>
    </row>
    <row r="11" spans="1:50" ht="18" x14ac:dyDescent="0.25">
      <c r="A11" s="5"/>
      <c r="B11" s="438" t="s">
        <v>255</v>
      </c>
      <c r="C11" s="438"/>
      <c r="D11" s="438"/>
      <c r="E11" s="438"/>
      <c r="F11" s="5"/>
      <c r="G11" s="14"/>
      <c r="H11" s="14"/>
      <c r="I11" s="14"/>
      <c r="J11" s="14"/>
      <c r="K11" s="14"/>
      <c r="L11" s="14"/>
      <c r="M11" s="436"/>
      <c r="N11" s="437"/>
      <c r="O11" s="437"/>
      <c r="P11" s="437"/>
      <c r="Q11" s="16"/>
      <c r="R11" s="14"/>
      <c r="S11" s="14"/>
      <c r="Z11" s="21">
        <v>720</v>
      </c>
      <c r="AA11" s="23">
        <v>11039</v>
      </c>
    </row>
    <row r="12" spans="1:50" x14ac:dyDescent="0.25">
      <c r="A12" s="5"/>
      <c r="B12" s="442">
        <v>1477.55</v>
      </c>
      <c r="C12" s="442"/>
      <c r="D12" s="442"/>
      <c r="E12" s="442"/>
      <c r="F12" s="5"/>
      <c r="G12" s="14"/>
      <c r="H12" s="14"/>
      <c r="I12" s="14"/>
      <c r="J12" s="14"/>
      <c r="K12" s="14"/>
      <c r="L12" s="14"/>
      <c r="M12" s="14"/>
      <c r="N12" s="14"/>
      <c r="O12" s="14"/>
      <c r="P12" s="14"/>
      <c r="Q12" s="14"/>
      <c r="R12" s="14"/>
      <c r="S12" s="14"/>
      <c r="Z12" s="24">
        <v>730</v>
      </c>
      <c r="AA12" s="23">
        <v>16000</v>
      </c>
    </row>
    <row r="13" spans="1:50" x14ac:dyDescent="0.25">
      <c r="A13" s="5"/>
      <c r="B13" s="49"/>
      <c r="C13" s="51"/>
      <c r="D13" s="50"/>
      <c r="E13" s="18"/>
      <c r="F13" s="5"/>
      <c r="G13" s="14"/>
      <c r="H13" s="14"/>
      <c r="I13" s="14"/>
      <c r="J13" s="14"/>
      <c r="K13" s="14"/>
      <c r="L13" s="14"/>
      <c r="M13" s="14"/>
      <c r="N13" s="14"/>
      <c r="O13" s="14"/>
      <c r="P13" s="14"/>
      <c r="Q13" s="14"/>
      <c r="R13" s="14"/>
      <c r="S13" s="14"/>
      <c r="Z13" s="23">
        <v>740</v>
      </c>
      <c r="AA13" s="23">
        <v>22395</v>
      </c>
    </row>
    <row r="14" spans="1:50" x14ac:dyDescent="0.25">
      <c r="A14" s="5"/>
      <c r="B14" s="49"/>
      <c r="C14" s="14"/>
      <c r="D14" s="50"/>
      <c r="E14" s="18"/>
      <c r="F14" s="5"/>
      <c r="G14" s="14"/>
      <c r="H14" s="14"/>
      <c r="I14" s="14"/>
      <c r="J14" s="14"/>
      <c r="K14" s="14"/>
      <c r="L14" s="14"/>
      <c r="M14" s="14"/>
      <c r="N14" s="14"/>
      <c r="O14" s="14"/>
      <c r="P14" s="14"/>
      <c r="Q14" s="14"/>
      <c r="R14" s="14"/>
      <c r="S14" s="14"/>
      <c r="Z14" s="23">
        <v>750</v>
      </c>
      <c r="AA14" s="23">
        <v>30190</v>
      </c>
    </row>
    <row r="15" spans="1:50" x14ac:dyDescent="0.25">
      <c r="A15" s="5"/>
      <c r="B15" s="49"/>
      <c r="C15" s="52"/>
      <c r="D15" s="50"/>
      <c r="E15" s="18"/>
      <c r="F15" s="5"/>
      <c r="G15" s="14"/>
      <c r="H15" s="14"/>
      <c r="I15" s="14"/>
      <c r="J15" s="14"/>
      <c r="K15" s="14"/>
      <c r="L15" s="14"/>
      <c r="M15" s="14"/>
      <c r="N15" s="14"/>
      <c r="O15" s="14"/>
      <c r="P15" s="14"/>
      <c r="Q15" s="14"/>
      <c r="R15" s="14"/>
      <c r="S15" s="14"/>
      <c r="Z15" s="23">
        <v>752</v>
      </c>
      <c r="AA15" s="23">
        <v>31611</v>
      </c>
    </row>
    <row r="16" spans="1:50" x14ac:dyDescent="0.25">
      <c r="A16" s="5"/>
      <c r="B16" s="14"/>
      <c r="C16" s="14"/>
      <c r="D16" s="14"/>
      <c r="E16" s="14"/>
      <c r="F16" s="5"/>
      <c r="G16" s="14"/>
      <c r="H16" s="14"/>
      <c r="I16" s="14"/>
      <c r="J16" s="14"/>
      <c r="K16" s="14"/>
      <c r="L16" s="14"/>
      <c r="M16" s="14"/>
      <c r="N16" s="14"/>
      <c r="O16" s="14"/>
      <c r="P16" s="14"/>
      <c r="Q16" s="14"/>
      <c r="R16" s="14"/>
      <c r="S16" s="14"/>
    </row>
    <row r="17" spans="1:19" x14ac:dyDescent="0.25">
      <c r="A17" s="5"/>
      <c r="B17" s="14"/>
      <c r="C17" s="14"/>
      <c r="D17" s="14"/>
      <c r="E17" s="14"/>
      <c r="F17" s="5"/>
      <c r="G17" s="14"/>
      <c r="H17" s="14"/>
      <c r="I17" s="14"/>
      <c r="J17" s="14"/>
      <c r="K17" s="14"/>
      <c r="L17" s="14"/>
      <c r="M17" s="14"/>
      <c r="N17" s="14"/>
      <c r="O17" s="14"/>
      <c r="P17" s="14"/>
      <c r="Q17" s="14"/>
      <c r="R17" s="14"/>
      <c r="S17" s="14"/>
    </row>
    <row r="18" spans="1:19" x14ac:dyDescent="0.25">
      <c r="A18" s="5"/>
      <c r="B18" s="49"/>
      <c r="C18" s="52"/>
      <c r="D18" s="50"/>
      <c r="E18" s="18"/>
      <c r="F18" s="5"/>
      <c r="G18" s="14"/>
      <c r="H18" s="14"/>
      <c r="I18" s="14"/>
      <c r="J18" s="14"/>
      <c r="K18" s="14"/>
      <c r="L18" s="14"/>
      <c r="M18" s="14"/>
      <c r="N18" s="14"/>
      <c r="O18" s="17"/>
      <c r="P18" s="14"/>
      <c r="Q18" s="14"/>
      <c r="R18" s="14"/>
      <c r="S18" s="14"/>
    </row>
    <row r="19" spans="1:19" x14ac:dyDescent="0.25">
      <c r="A19" s="5"/>
      <c r="B19" s="49"/>
      <c r="C19" s="50"/>
      <c r="D19" s="50"/>
      <c r="E19" s="49"/>
      <c r="F19" s="5"/>
      <c r="G19" s="14"/>
      <c r="H19" s="14"/>
      <c r="I19" s="14"/>
      <c r="J19" s="14"/>
      <c r="K19" s="14"/>
      <c r="L19" s="14"/>
      <c r="M19" s="14"/>
      <c r="N19" s="14"/>
      <c r="O19" s="14"/>
      <c r="P19" s="14"/>
      <c r="Q19" s="14"/>
      <c r="R19" s="14"/>
      <c r="S19" s="14"/>
    </row>
    <row r="20" spans="1:19" x14ac:dyDescent="0.25">
      <c r="A20" s="5"/>
      <c r="B20" s="49"/>
      <c r="C20" s="49"/>
      <c r="D20" s="49"/>
      <c r="E20" s="49"/>
      <c r="F20" s="5"/>
      <c r="G20" s="14"/>
      <c r="H20" s="14"/>
      <c r="I20" s="14"/>
      <c r="J20" s="14"/>
      <c r="K20" s="14"/>
      <c r="L20" s="14"/>
      <c r="M20" s="14"/>
      <c r="N20" s="14"/>
      <c r="O20" s="14"/>
      <c r="P20" s="14"/>
      <c r="Q20" s="14"/>
      <c r="R20" s="14"/>
      <c r="S20" s="14"/>
    </row>
    <row r="21" spans="1:19" x14ac:dyDescent="0.25">
      <c r="A21" s="5"/>
      <c r="B21" s="14"/>
      <c r="C21" s="14"/>
      <c r="D21" s="14"/>
      <c r="E21" s="14"/>
      <c r="F21" s="5"/>
      <c r="G21" s="14"/>
      <c r="H21" s="14"/>
      <c r="I21" s="14"/>
      <c r="J21" s="14"/>
      <c r="K21" s="14"/>
      <c r="L21" s="14"/>
      <c r="M21" s="14"/>
      <c r="N21" s="14"/>
      <c r="O21" s="14"/>
      <c r="P21" s="14"/>
      <c r="Q21" s="14"/>
      <c r="R21" s="14"/>
      <c r="S21" s="14"/>
    </row>
    <row r="22" spans="1:19" ht="18" customHeight="1" x14ac:dyDescent="0.25">
      <c r="A22" s="5"/>
      <c r="B22" s="14"/>
      <c r="C22" s="14"/>
      <c r="D22" s="14"/>
      <c r="E22" s="14"/>
      <c r="F22" s="5"/>
      <c r="G22" s="14"/>
      <c r="H22" s="14"/>
      <c r="I22" s="14"/>
      <c r="J22" s="14"/>
      <c r="K22" s="14"/>
      <c r="L22" s="14"/>
      <c r="M22" s="14"/>
      <c r="N22" s="14"/>
      <c r="O22" s="14"/>
      <c r="P22" s="14"/>
      <c r="Q22" s="14"/>
      <c r="R22" s="14"/>
      <c r="S22" s="14"/>
    </row>
    <row r="23" spans="1:19" ht="10.5" customHeight="1" x14ac:dyDescent="0.25">
      <c r="A23" s="5"/>
      <c r="B23" s="14"/>
      <c r="C23" s="14"/>
      <c r="D23" s="14"/>
      <c r="E23" s="14"/>
      <c r="F23" s="5"/>
      <c r="G23" s="18"/>
      <c r="H23" s="18"/>
      <c r="I23" s="18"/>
      <c r="J23" s="18"/>
      <c r="K23" s="14"/>
      <c r="L23" s="14"/>
      <c r="M23" s="14"/>
      <c r="N23" s="14"/>
      <c r="O23" s="14"/>
      <c r="P23" s="14"/>
      <c r="Q23" s="14"/>
      <c r="R23" s="14"/>
      <c r="S23" s="14"/>
    </row>
    <row r="24" spans="1:19" x14ac:dyDescent="0.25">
      <c r="A24" s="5"/>
      <c r="B24" s="19"/>
      <c r="C24" s="19"/>
      <c r="D24" s="19"/>
      <c r="E24" s="19"/>
      <c r="F24" s="5"/>
      <c r="G24" s="14"/>
      <c r="H24" s="14"/>
      <c r="I24" s="14"/>
      <c r="J24" s="14"/>
      <c r="K24" s="14"/>
      <c r="L24" s="14"/>
      <c r="M24" s="14"/>
      <c r="N24" s="14"/>
      <c r="O24" s="14"/>
      <c r="P24" s="14"/>
      <c r="Q24" s="14"/>
      <c r="R24" s="14"/>
      <c r="S24" s="14"/>
    </row>
    <row r="25" spans="1:19" x14ac:dyDescent="0.25">
      <c r="A25" s="14"/>
      <c r="B25" s="14"/>
      <c r="C25" s="14"/>
      <c r="D25" s="14"/>
      <c r="E25" s="48"/>
      <c r="F25" s="14"/>
      <c r="G25" s="14"/>
      <c r="H25" s="14"/>
      <c r="I25" s="14"/>
      <c r="J25" s="14"/>
      <c r="K25" s="14"/>
      <c r="L25" s="14"/>
      <c r="M25" s="14"/>
      <c r="N25" s="14"/>
      <c r="O25" s="14"/>
      <c r="P25" s="14"/>
      <c r="Q25" s="14"/>
      <c r="R25" s="14"/>
      <c r="S25" s="14"/>
    </row>
    <row r="26" spans="1:19" x14ac:dyDescent="0.25">
      <c r="A26" s="14"/>
      <c r="B26" s="14"/>
      <c r="C26" s="14"/>
      <c r="D26" s="14"/>
      <c r="E26" s="14"/>
      <c r="F26" s="14"/>
      <c r="G26" s="14"/>
      <c r="H26" s="14"/>
      <c r="I26" s="14"/>
      <c r="J26" s="14"/>
      <c r="K26" s="14"/>
      <c r="L26" s="14"/>
      <c r="M26" s="14"/>
      <c r="N26" s="14"/>
      <c r="O26" s="14"/>
      <c r="P26" s="14"/>
      <c r="Q26" s="14"/>
      <c r="R26" s="14"/>
      <c r="S26" s="14"/>
    </row>
    <row r="27" spans="1:19" x14ac:dyDescent="0.25">
      <c r="A27" s="14"/>
      <c r="B27" s="14"/>
      <c r="C27" s="14"/>
      <c r="D27" s="14"/>
      <c r="E27" s="14"/>
      <c r="F27" s="14"/>
      <c r="G27" s="14"/>
      <c r="H27" s="14"/>
      <c r="I27" s="14"/>
      <c r="J27" s="14"/>
      <c r="K27" s="14"/>
      <c r="L27" s="14"/>
      <c r="M27" s="14"/>
      <c r="N27" s="14"/>
      <c r="O27" s="14"/>
      <c r="P27" s="14"/>
      <c r="Q27" s="14"/>
      <c r="R27" s="14"/>
      <c r="S27" s="14"/>
    </row>
    <row r="28" spans="1:19" x14ac:dyDescent="0.25">
      <c r="A28" s="14"/>
      <c r="B28" s="14"/>
      <c r="C28" s="14"/>
      <c r="D28" s="14"/>
      <c r="E28" s="14"/>
      <c r="F28" s="14"/>
      <c r="G28" s="14"/>
      <c r="H28" s="14"/>
      <c r="I28" s="14"/>
      <c r="J28" s="14"/>
      <c r="K28" s="14"/>
      <c r="L28" s="14"/>
      <c r="M28" s="14"/>
      <c r="N28" s="14"/>
      <c r="O28" s="14"/>
      <c r="P28" s="14"/>
      <c r="Q28" s="14"/>
      <c r="R28" s="14"/>
      <c r="S28" s="14"/>
    </row>
    <row r="29" spans="1:19" x14ac:dyDescent="0.25">
      <c r="A29" s="296"/>
      <c r="B29" s="297" t="s">
        <v>69</v>
      </c>
      <c r="C29" s="292" t="s">
        <v>70</v>
      </c>
      <c r="D29" s="297" t="s">
        <v>71</v>
      </c>
      <c r="E29" s="296"/>
      <c r="F29" t="s">
        <v>72</v>
      </c>
      <c r="M29" s="296"/>
      <c r="N29" s="296"/>
    </row>
    <row r="30" spans="1:19" ht="15" thickBot="1" x14ac:dyDescent="0.3">
      <c r="A30" s="296"/>
      <c r="B30" s="293">
        <f>C8-$B$12</f>
        <v>3.1000000000001364</v>
      </c>
      <c r="C30" s="294">
        <f>IF(B30&lt;&gt;"",B30^2,"")</f>
        <v>9.610000000000845</v>
      </c>
      <c r="D30" s="295">
        <f>E8</f>
        <v>0.2858</v>
      </c>
      <c r="E30" s="296"/>
      <c r="M30" s="296"/>
      <c r="N30" s="296"/>
    </row>
    <row r="31" spans="1:19" x14ac:dyDescent="0.25">
      <c r="A31" s="296"/>
      <c r="B31" s="293">
        <f>C9-$B$12</f>
        <v>17.100000000000136</v>
      </c>
      <c r="C31" s="294">
        <f>IF(B31&lt;&gt;"",B31^2,"")</f>
        <v>292.41000000000469</v>
      </c>
      <c r="D31" s="295">
        <f>E9</f>
        <v>5.3708</v>
      </c>
      <c r="E31" s="296"/>
      <c r="F31" s="386" t="s">
        <v>73</v>
      </c>
      <c r="G31" s="386"/>
      <c r="M31" s="296"/>
      <c r="N31" s="296"/>
    </row>
    <row r="32" spans="1:19" x14ac:dyDescent="0.25">
      <c r="A32" s="296"/>
      <c r="B32" s="293">
        <f>C10-$B$12</f>
        <v>20.100000000000136</v>
      </c>
      <c r="C32" s="294">
        <f>IF(B32&lt;&gt;"",B32^2,"")</f>
        <v>404.0100000000055</v>
      </c>
      <c r="D32" s="295">
        <f>E10</f>
        <v>7.3217999999999996</v>
      </c>
      <c r="E32" s="296"/>
      <c r="F32" s="383" t="s">
        <v>74</v>
      </c>
      <c r="G32" s="383">
        <v>1</v>
      </c>
      <c r="M32" s="296"/>
      <c r="N32" s="296"/>
    </row>
    <row r="33" spans="1:14" x14ac:dyDescent="0.25">
      <c r="A33" s="292"/>
      <c r="B33" s="293"/>
      <c r="C33" s="294"/>
      <c r="D33" s="295"/>
      <c r="E33" s="292"/>
      <c r="F33" s="383" t="s">
        <v>75</v>
      </c>
      <c r="G33" s="383">
        <v>1</v>
      </c>
      <c r="M33" s="296"/>
      <c r="N33" s="296"/>
    </row>
    <row r="34" spans="1:14" x14ac:dyDescent="0.25">
      <c r="A34" s="292"/>
      <c r="B34" s="293"/>
      <c r="C34" s="294"/>
      <c r="D34" s="295"/>
      <c r="E34" s="292"/>
      <c r="F34" s="383" t="s">
        <v>76</v>
      </c>
      <c r="G34" s="383">
        <v>65535</v>
      </c>
      <c r="M34" s="296"/>
      <c r="N34" s="296"/>
    </row>
    <row r="35" spans="1:14" x14ac:dyDescent="0.25">
      <c r="A35" s="292"/>
      <c r="B35" s="293"/>
      <c r="C35" s="294"/>
      <c r="D35" s="295"/>
      <c r="E35" s="292"/>
      <c r="F35" s="383" t="s">
        <v>77</v>
      </c>
      <c r="G35" s="383">
        <v>0</v>
      </c>
      <c r="M35" s="296"/>
      <c r="N35" s="296"/>
    </row>
    <row r="36" spans="1:14" ht="15" thickBot="1" x14ac:dyDescent="0.3">
      <c r="A36" s="292"/>
      <c r="B36" s="293"/>
      <c r="C36" s="294"/>
      <c r="D36" s="295"/>
      <c r="E36" s="292"/>
      <c r="F36" s="384" t="s">
        <v>78</v>
      </c>
      <c r="G36" s="384">
        <v>3</v>
      </c>
      <c r="M36" s="296"/>
      <c r="N36" s="296"/>
    </row>
    <row r="37" spans="1:14" x14ac:dyDescent="0.25">
      <c r="A37" s="292"/>
      <c r="B37" s="293"/>
      <c r="C37" s="294"/>
      <c r="D37" s="295"/>
      <c r="E37" s="292"/>
      <c r="M37" s="296"/>
      <c r="N37" s="296"/>
    </row>
    <row r="38" spans="1:14" ht="15" thickBot="1" x14ac:dyDescent="0.3">
      <c r="A38" s="292"/>
      <c r="B38" s="293"/>
      <c r="C38" s="294"/>
      <c r="D38" s="295"/>
      <c r="E38" s="292"/>
      <c r="F38" t="s">
        <v>79</v>
      </c>
      <c r="M38" s="296"/>
      <c r="N38" s="296"/>
    </row>
    <row r="39" spans="1:14" x14ac:dyDescent="0.25">
      <c r="A39" s="292"/>
      <c r="B39" s="293"/>
      <c r="C39" s="294"/>
      <c r="D39" s="295"/>
      <c r="E39" s="292"/>
      <c r="F39" s="385"/>
      <c r="G39" s="385" t="s">
        <v>84</v>
      </c>
      <c r="H39" s="385" t="s">
        <v>85</v>
      </c>
      <c r="I39" s="385" t="s">
        <v>86</v>
      </c>
      <c r="J39" s="385" t="s">
        <v>87</v>
      </c>
      <c r="K39" s="385" t="s">
        <v>88</v>
      </c>
      <c r="M39" s="296"/>
      <c r="N39" s="296"/>
    </row>
    <row r="40" spans="1:14" x14ac:dyDescent="0.25">
      <c r="A40" s="292"/>
      <c r="B40" s="293"/>
      <c r="C40" s="294"/>
      <c r="D40" s="295"/>
      <c r="E40" s="292"/>
      <c r="F40" s="383" t="s">
        <v>80</v>
      </c>
      <c r="G40" s="383">
        <v>2</v>
      </c>
      <c r="H40" s="383">
        <v>26.389640666666661</v>
      </c>
      <c r="I40" s="383">
        <v>13.194820333333331</v>
      </c>
      <c r="J40" s="383" t="e">
        <v>#NUM!</v>
      </c>
      <c r="K40" s="383" t="e">
        <v>#NUM!</v>
      </c>
      <c r="M40" s="296"/>
      <c r="N40" s="296"/>
    </row>
    <row r="41" spans="1:14" x14ac:dyDescent="0.25">
      <c r="A41" s="292"/>
      <c r="B41" s="293"/>
      <c r="C41" s="294"/>
      <c r="D41" s="295"/>
      <c r="E41" s="292"/>
      <c r="F41" s="383" t="s">
        <v>81</v>
      </c>
      <c r="G41" s="383">
        <v>0</v>
      </c>
      <c r="H41" s="383">
        <v>0</v>
      </c>
      <c r="I41" s="383">
        <v>65535</v>
      </c>
      <c r="J41" s="383"/>
      <c r="K41" s="383"/>
      <c r="M41" s="296"/>
      <c r="N41" s="296"/>
    </row>
    <row r="42" spans="1:14" ht="15" thickBot="1" x14ac:dyDescent="0.3">
      <c r="A42" s="292"/>
      <c r="B42" s="292"/>
      <c r="C42" s="292"/>
      <c r="D42" s="292"/>
      <c r="E42" s="292"/>
      <c r="F42" s="384" t="s">
        <v>82</v>
      </c>
      <c r="G42" s="384">
        <v>2</v>
      </c>
      <c r="H42" s="384">
        <v>26.389640666666661</v>
      </c>
      <c r="I42" s="384"/>
      <c r="J42" s="384"/>
      <c r="K42" s="384"/>
      <c r="M42" s="296"/>
      <c r="N42" s="296"/>
    </row>
    <row r="43" spans="1:14" ht="15" thickBot="1" x14ac:dyDescent="0.3">
      <c r="A43" s="292"/>
      <c r="B43" s="292"/>
      <c r="C43" s="292"/>
      <c r="D43" s="292"/>
      <c r="E43" s="292"/>
      <c r="M43" s="296"/>
      <c r="N43" s="296"/>
    </row>
    <row r="44" spans="1:14" x14ac:dyDescent="0.25">
      <c r="A44" s="296"/>
      <c r="B44" s="296"/>
      <c r="C44" s="296"/>
      <c r="D44" s="296"/>
      <c r="E44" s="296"/>
      <c r="F44" s="385"/>
      <c r="G44" s="385" t="s">
        <v>89</v>
      </c>
      <c r="H44" s="385" t="s">
        <v>77</v>
      </c>
      <c r="I44" s="385" t="s">
        <v>90</v>
      </c>
      <c r="J44" s="385" t="s">
        <v>91</v>
      </c>
      <c r="K44" s="385" t="s">
        <v>92</v>
      </c>
      <c r="L44" s="385" t="s">
        <v>93</v>
      </c>
      <c r="M44" s="296"/>
      <c r="N44" s="296"/>
    </row>
    <row r="45" spans="1:14" x14ac:dyDescent="0.25">
      <c r="A45" s="296"/>
      <c r="B45" s="296"/>
      <c r="C45" s="296"/>
      <c r="D45" s="296"/>
      <c r="E45" s="296"/>
      <c r="F45" s="383" t="s">
        <v>83</v>
      </c>
      <c r="G45" s="383">
        <v>5.5140462184875005E-2</v>
      </c>
      <c r="H45" s="383">
        <v>0</v>
      </c>
      <c r="I45" s="383">
        <v>65535</v>
      </c>
      <c r="J45" s="383" t="e">
        <v>#NUM!</v>
      </c>
      <c r="K45" s="383">
        <v>5.5140462184875005E-2</v>
      </c>
      <c r="L45" s="383">
        <v>5.5140462184875005E-2</v>
      </c>
      <c r="M45" s="296"/>
      <c r="N45" s="296"/>
    </row>
    <row r="46" spans="1:14" x14ac:dyDescent="0.25">
      <c r="A46" s="296"/>
      <c r="B46" s="296"/>
      <c r="C46" s="296"/>
      <c r="D46" s="296"/>
      <c r="E46" s="296"/>
      <c r="F46" s="383" t="s">
        <v>94</v>
      </c>
      <c r="G46" s="383">
        <v>2.2049299719882721E-2</v>
      </c>
      <c r="H46" s="383">
        <v>0</v>
      </c>
      <c r="I46" s="383">
        <v>65535</v>
      </c>
      <c r="J46" s="383" t="e">
        <v>#NUM!</v>
      </c>
      <c r="K46" s="383">
        <v>2.2049299719882721E-2</v>
      </c>
      <c r="L46" s="383">
        <v>2.2049299719882721E-2</v>
      </c>
      <c r="M46" s="296"/>
      <c r="N46" s="296"/>
    </row>
    <row r="47" spans="1:14" ht="15" thickBot="1" x14ac:dyDescent="0.3">
      <c r="A47" s="296"/>
      <c r="B47" s="296"/>
      <c r="C47" s="296"/>
      <c r="D47" s="296"/>
      <c r="E47" s="296"/>
      <c r="F47" s="384" t="s">
        <v>95</v>
      </c>
      <c r="G47" s="384">
        <v>1.6889355742296937E-2</v>
      </c>
      <c r="H47" s="384">
        <v>0</v>
      </c>
      <c r="I47" s="384">
        <v>65535</v>
      </c>
      <c r="J47" s="384" t="e">
        <v>#NUM!</v>
      </c>
      <c r="K47" s="384">
        <v>1.6889355742296937E-2</v>
      </c>
      <c r="L47" s="384">
        <v>1.6889355742296937E-2</v>
      </c>
      <c r="M47" s="296"/>
      <c r="N47" s="296"/>
    </row>
    <row r="48" spans="1:14" x14ac:dyDescent="0.25">
      <c r="A48" s="296"/>
      <c r="B48" s="296"/>
      <c r="C48" s="296"/>
      <c r="D48" s="296"/>
      <c r="E48" s="296"/>
      <c r="M48" s="296"/>
      <c r="N48" s="296"/>
    </row>
    <row r="49" spans="1:25" x14ac:dyDescent="0.25">
      <c r="A49" s="296"/>
      <c r="B49" s="296"/>
      <c r="C49" s="296"/>
      <c r="D49" s="296"/>
      <c r="E49" s="296"/>
      <c r="M49" s="296"/>
      <c r="N49" s="296"/>
    </row>
    <row r="50" spans="1:25" x14ac:dyDescent="0.25">
      <c r="A50" s="296"/>
      <c r="B50" s="296"/>
      <c r="C50" s="296"/>
      <c r="D50" s="296"/>
      <c r="E50" s="296"/>
      <c r="M50" s="296"/>
      <c r="N50" s="296"/>
    </row>
    <row r="51" spans="1:25" x14ac:dyDescent="0.25">
      <c r="A51" s="296"/>
      <c r="B51" s="296"/>
      <c r="C51" s="296"/>
      <c r="D51" s="296"/>
      <c r="E51" s="296"/>
      <c r="F51" t="s">
        <v>96</v>
      </c>
      <c r="M51" s="296"/>
      <c r="N51" s="296"/>
    </row>
    <row r="52" spans="1:25" ht="15" thickBot="1" x14ac:dyDescent="0.3">
      <c r="A52" s="296"/>
      <c r="B52" s="296"/>
      <c r="C52" s="296"/>
      <c r="D52" s="296"/>
      <c r="E52" s="296"/>
      <c r="M52" s="296"/>
      <c r="N52" s="296"/>
    </row>
    <row r="53" spans="1:25" x14ac:dyDescent="0.25">
      <c r="A53" s="296"/>
      <c r="B53" s="296"/>
      <c r="C53" s="296"/>
      <c r="D53" s="296"/>
      <c r="E53" s="296"/>
      <c r="F53" s="385" t="s">
        <v>78</v>
      </c>
      <c r="G53" s="385" t="s">
        <v>97</v>
      </c>
      <c r="H53" s="385" t="s">
        <v>81</v>
      </c>
      <c r="I53" s="385" t="s">
        <v>98</v>
      </c>
      <c r="M53" s="296"/>
      <c r="N53" s="296"/>
    </row>
    <row r="54" spans="1:25" x14ac:dyDescent="0.25">
      <c r="A54" s="296"/>
      <c r="B54" s="296"/>
      <c r="C54" s="296"/>
      <c r="D54" s="296"/>
      <c r="E54" s="296"/>
      <c r="F54" s="383">
        <v>1</v>
      </c>
      <c r="G54" s="383">
        <v>0.28580000000000227</v>
      </c>
      <c r="H54" s="383">
        <v>-2.2759572004815709E-15</v>
      </c>
      <c r="I54" s="383">
        <v>-2.4134344622025657E+146</v>
      </c>
      <c r="M54" s="296"/>
      <c r="N54" s="296"/>
    </row>
    <row r="55" spans="1:25" s="14" customFormat="1" x14ac:dyDescent="0.25">
      <c r="A55" s="292"/>
      <c r="B55" s="292"/>
      <c r="C55" s="292"/>
      <c r="D55" s="292"/>
      <c r="E55" s="292"/>
      <c r="F55" s="383">
        <v>2</v>
      </c>
      <c r="G55" s="383">
        <v>5.3707999999999991</v>
      </c>
      <c r="H55" s="383">
        <v>8.8817841970012523E-16</v>
      </c>
      <c r="I55" s="383">
        <v>9.4182808281075733E+145</v>
      </c>
      <c r="J55"/>
      <c r="K55"/>
      <c r="L55"/>
      <c r="M55" s="292"/>
      <c r="N55" s="292"/>
      <c r="O55"/>
      <c r="P55"/>
      <c r="Q55"/>
      <c r="R55"/>
      <c r="S55"/>
      <c r="T55"/>
      <c r="U55"/>
      <c r="V55"/>
      <c r="W55"/>
      <c r="X55"/>
      <c r="Y55"/>
    </row>
    <row r="56" spans="1:25" ht="15" thickBot="1" x14ac:dyDescent="0.3">
      <c r="A56" s="296"/>
      <c r="B56" s="296"/>
      <c r="C56" s="296"/>
      <c r="D56" s="296"/>
      <c r="E56" s="296"/>
      <c r="F56" s="384">
        <v>3</v>
      </c>
      <c r="G56" s="384">
        <v>7.3217999999999996</v>
      </c>
      <c r="H56" s="384">
        <v>0</v>
      </c>
      <c r="I56" s="384">
        <v>0</v>
      </c>
      <c r="M56" s="296"/>
      <c r="N56" s="296"/>
    </row>
    <row r="57" spans="1:25" x14ac:dyDescent="0.25">
      <c r="A57" s="296"/>
      <c r="B57" s="296"/>
      <c r="C57" s="296"/>
      <c r="D57" s="296"/>
      <c r="E57" s="296"/>
      <c r="F57" s="296"/>
      <c r="G57" s="296"/>
      <c r="H57" s="296"/>
      <c r="I57" s="296"/>
      <c r="J57" s="296"/>
      <c r="K57" s="296"/>
      <c r="L57" s="296"/>
      <c r="M57" s="296"/>
      <c r="N57" s="296"/>
    </row>
    <row r="58" spans="1:25" x14ac:dyDescent="0.25">
      <c r="A58" s="296"/>
      <c r="B58" s="296"/>
      <c r="C58" s="296"/>
      <c r="D58" s="296"/>
      <c r="E58" s="296"/>
      <c r="F58" s="296"/>
      <c r="G58" s="296"/>
      <c r="H58" s="296"/>
      <c r="I58" s="296"/>
      <c r="J58" s="296"/>
      <c r="K58" s="296"/>
      <c r="L58" s="296"/>
      <c r="M58" s="296"/>
      <c r="N58" s="296"/>
    </row>
    <row r="59" spans="1:25" x14ac:dyDescent="0.25">
      <c r="A59" s="296"/>
      <c r="B59" s="296"/>
      <c r="C59" s="296"/>
      <c r="D59" s="296"/>
      <c r="E59" s="296"/>
      <c r="F59" s="296"/>
      <c r="G59" s="296"/>
      <c r="H59" s="296"/>
      <c r="I59" s="296"/>
      <c r="J59" s="296"/>
      <c r="K59" s="296"/>
      <c r="L59" s="296"/>
      <c r="M59" s="296"/>
      <c r="N59" s="296"/>
    </row>
    <row r="64" spans="1:25" ht="15" thickBot="1" x14ac:dyDescent="0.3">
      <c r="F64" s="20"/>
      <c r="G64" s="20"/>
      <c r="H64" s="20"/>
      <c r="I64" s="20"/>
    </row>
  </sheetData>
  <mergeCells count="18">
    <mergeCell ref="B12:E12"/>
    <mergeCell ref="M9:O9"/>
    <mergeCell ref="O8:P8"/>
    <mergeCell ref="B6:C6"/>
    <mergeCell ref="D6:E6"/>
    <mergeCell ref="O6:P6"/>
    <mergeCell ref="B7:C7"/>
    <mergeCell ref="D7:E7"/>
    <mergeCell ref="O7:P7"/>
    <mergeCell ref="A1:S1"/>
    <mergeCell ref="A2:S2"/>
    <mergeCell ref="A3:S3"/>
    <mergeCell ref="M11:P11"/>
    <mergeCell ref="B11:E11"/>
    <mergeCell ref="B4:E4"/>
    <mergeCell ref="B5:C5"/>
    <mergeCell ref="D5:E5"/>
    <mergeCell ref="G6:K8"/>
  </mergeCells>
  <phoneticPr fontId="1" type="noConversion"/>
  <pageMargins left="0.7" right="0.7" top="0.75" bottom="0.75" header="0.3" footer="0.3"/>
  <pageSetup paperSize="9" orientation="portrait" r:id="rId1"/>
  <ignoredErrors>
    <ignoredError sqref="N6:N8"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regressWH">
                <anchor moveWithCells="1" sizeWithCells="1">
                  <from>
                    <xdr:col>1</xdr:col>
                    <xdr:colOff>0</xdr:colOff>
                    <xdr:row>14</xdr:row>
                    <xdr:rowOff>60960</xdr:rowOff>
                  </from>
                  <to>
                    <xdr:col>2</xdr:col>
                    <xdr:colOff>678180</xdr:colOff>
                    <xdr:row>16</xdr:row>
                    <xdr:rowOff>60960</xdr:rowOff>
                  </to>
                </anchor>
              </controlPr>
            </control>
          </mc:Choice>
        </mc:AlternateContent>
        <mc:AlternateContent xmlns:mc="http://schemas.openxmlformats.org/markup-compatibility/2006">
          <mc:Choice Requires="x14">
            <control shapeId="4098" r:id="rId5" name="Group Box 2">
              <controlPr defaultSize="0" autoFill="0" autoPict="0">
                <anchor moveWithCells="1">
                  <from>
                    <xdr:col>0</xdr:col>
                    <xdr:colOff>403860</xdr:colOff>
                    <xdr:row>4</xdr:row>
                    <xdr:rowOff>22860</xdr:rowOff>
                  </from>
                  <to>
                    <xdr:col>5</xdr:col>
                    <xdr:colOff>182880</xdr:colOff>
                    <xdr:row>24</xdr:row>
                    <xdr:rowOff>0</xdr:rowOff>
                  </to>
                </anchor>
              </controlPr>
            </control>
          </mc:Choice>
        </mc:AlternateContent>
        <mc:AlternateContent xmlns:mc="http://schemas.openxmlformats.org/markup-compatibility/2006">
          <mc:Choice Requires="x14">
            <control shapeId="4099" r:id="rId6" name="Group Box 3">
              <controlPr defaultSize="0" autoFill="0" autoPict="0">
                <anchor moveWithCells="1">
                  <from>
                    <xdr:col>5</xdr:col>
                    <xdr:colOff>335280</xdr:colOff>
                    <xdr:row>4</xdr:row>
                    <xdr:rowOff>38100</xdr:rowOff>
                  </from>
                  <to>
                    <xdr:col>11</xdr:col>
                    <xdr:colOff>510540</xdr:colOff>
                    <xdr:row>24</xdr:row>
                    <xdr:rowOff>0</xdr:rowOff>
                  </to>
                </anchor>
              </controlPr>
            </control>
          </mc:Choice>
        </mc:AlternateContent>
        <mc:AlternateContent xmlns:mc="http://schemas.openxmlformats.org/markup-compatibility/2006">
          <mc:Choice Requires="x14">
            <control shapeId="4100" r:id="rId7" name="Group Box 4">
              <controlPr defaultSize="0" autoFill="0" autoPict="0">
                <anchor moveWithCells="1">
                  <from>
                    <xdr:col>11</xdr:col>
                    <xdr:colOff>624840</xdr:colOff>
                    <xdr:row>4</xdr:row>
                    <xdr:rowOff>53340</xdr:rowOff>
                  </from>
                  <to>
                    <xdr:col>16</xdr:col>
                    <xdr:colOff>297180</xdr:colOff>
                    <xdr:row>24</xdr:row>
                    <xdr:rowOff>0</xdr:rowOff>
                  </to>
                </anchor>
              </controlPr>
            </control>
          </mc:Choice>
        </mc:AlternateContent>
        <mc:AlternateContent xmlns:mc="http://schemas.openxmlformats.org/markup-compatibility/2006">
          <mc:Choice Requires="x14">
            <control shapeId="4101" r:id="rId8" name="Button 5">
              <controlPr defaultSize="0" print="0" autoFill="0" autoPict="0" macro="[0]!控制按钮8_click">
                <anchor moveWithCells="1" sizeWithCells="1">
                  <from>
                    <xdr:col>1</xdr:col>
                    <xdr:colOff>0</xdr:colOff>
                    <xdr:row>17</xdr:row>
                    <xdr:rowOff>137160</xdr:rowOff>
                  </from>
                  <to>
                    <xdr:col>2</xdr:col>
                    <xdr:colOff>632460</xdr:colOff>
                    <xdr:row>19</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6"/>
  <dimension ref="A1:AX79"/>
  <sheetViews>
    <sheetView workbookViewId="0">
      <selection activeCell="L27" sqref="L27"/>
    </sheetView>
  </sheetViews>
  <sheetFormatPr defaultRowHeight="14.4" x14ac:dyDescent="0.25"/>
  <cols>
    <col min="3" max="3" width="14.33203125" customWidth="1"/>
    <col min="4" max="4" width="11.109375" bestFit="1" customWidth="1"/>
    <col min="6" max="12" width="10.77734375" customWidth="1"/>
    <col min="13" max="13" width="11.21875" customWidth="1"/>
    <col min="14" max="14" width="16.109375" style="393" customWidth="1"/>
    <col min="15" max="18" width="10.77734375" customWidth="1"/>
    <col min="26" max="26" width="18.109375" customWidth="1"/>
    <col min="31" max="31" width="19" customWidth="1"/>
    <col min="32" max="32" width="12.44140625" customWidth="1"/>
  </cols>
  <sheetData>
    <row r="1" spans="1:50" s="2" customFormat="1" ht="73.5" customHeight="1" x14ac:dyDescent="0.25">
      <c r="A1" s="451" t="s">
        <v>287</v>
      </c>
      <c r="B1" s="451"/>
      <c r="C1" s="451"/>
      <c r="D1" s="451"/>
      <c r="E1" s="451"/>
      <c r="F1" s="451"/>
      <c r="G1" s="451"/>
      <c r="H1" s="451"/>
      <c r="I1" s="451"/>
      <c r="J1" s="451"/>
      <c r="K1" s="451"/>
      <c r="L1" s="451"/>
      <c r="M1" s="451"/>
      <c r="N1" s="451"/>
      <c r="O1" s="451"/>
      <c r="P1" s="451"/>
      <c r="Q1" s="451"/>
      <c r="R1" s="451"/>
      <c r="S1" s="451"/>
      <c r="T1" s="44"/>
      <c r="U1" s="57" t="s">
        <v>306</v>
      </c>
      <c r="V1" s="394" t="s">
        <v>307</v>
      </c>
      <c r="W1" s="394" t="s">
        <v>308</v>
      </c>
      <c r="X1" s="394" t="s">
        <v>309</v>
      </c>
      <c r="Y1" s="394" t="s">
        <v>315</v>
      </c>
      <c r="Z1" s="394" t="s">
        <v>310</v>
      </c>
      <c r="AA1" s="394" t="s">
        <v>311</v>
      </c>
      <c r="AB1" s="394" t="s">
        <v>312</v>
      </c>
      <c r="AC1" s="394" t="s">
        <v>313</v>
      </c>
      <c r="AD1" s="394" t="s">
        <v>314</v>
      </c>
      <c r="AE1" s="394" t="s">
        <v>316</v>
      </c>
      <c r="AF1" s="449" t="s">
        <v>305</v>
      </c>
      <c r="AG1" s="450"/>
      <c r="AH1" s="9"/>
      <c r="AI1" s="9"/>
      <c r="AJ1" s="9"/>
      <c r="AK1" s="9"/>
      <c r="AL1" s="9"/>
      <c r="AM1" s="9"/>
      <c r="AN1" s="9"/>
      <c r="AO1" s="9"/>
      <c r="AP1" s="9"/>
      <c r="AQ1" s="9"/>
      <c r="AR1" s="9"/>
      <c r="AS1" s="9"/>
      <c r="AT1" s="9"/>
      <c r="AU1" s="9"/>
      <c r="AV1" s="9"/>
      <c r="AW1" s="9"/>
      <c r="AX1" s="9"/>
    </row>
    <row r="2" spans="1:50" s="3" customFormat="1" ht="22.5" customHeight="1" x14ac:dyDescent="0.25">
      <c r="A2" s="452" t="s">
        <v>288</v>
      </c>
      <c r="B2" s="452"/>
      <c r="C2" s="452"/>
      <c r="D2" s="452"/>
      <c r="E2" s="452"/>
      <c r="F2" s="452"/>
      <c r="G2" s="452"/>
      <c r="H2" s="452"/>
      <c r="I2" s="452"/>
      <c r="J2" s="452"/>
      <c r="K2" s="452"/>
      <c r="L2" s="452"/>
      <c r="M2" s="452"/>
      <c r="N2" s="452"/>
      <c r="O2" s="452"/>
      <c r="P2" s="452"/>
      <c r="Q2" s="452"/>
      <c r="R2" s="452"/>
      <c r="S2" s="452"/>
      <c r="T2" s="45"/>
      <c r="U2" s="395">
        <v>0.57999999999999996</v>
      </c>
      <c r="V2" s="57">
        <f>U2*0.7</f>
        <v>0.40599999999999997</v>
      </c>
      <c r="W2" s="57">
        <v>195</v>
      </c>
      <c r="X2" s="57">
        <v>5</v>
      </c>
      <c r="Y2" s="57">
        <f>(X2/(W2*60))*1000</f>
        <v>0.42735042735042733</v>
      </c>
      <c r="Z2" s="57">
        <f t="shared" ref="Z2:Z8" si="0">1000*V2*V2/4*0.04</f>
        <v>1.6483599999999998</v>
      </c>
      <c r="AA2" s="57">
        <f>(Z2-8)*100</f>
        <v>-635.16399999999999</v>
      </c>
      <c r="AB2" s="57">
        <f>Y2</f>
        <v>0.42735042735042733</v>
      </c>
      <c r="AC2">
        <f>AA2/AB2</f>
        <v>-1486.28376</v>
      </c>
      <c r="AD2">
        <f t="shared" ref="AD2:AD5" si="1">AA2/(0.7624+0.00005*AA2)</f>
        <v>-869.32338116981532</v>
      </c>
      <c r="AE2">
        <f>(X2/(W2*60))*1000</f>
        <v>0.42735042735042733</v>
      </c>
      <c r="AF2" s="10">
        <f>100*Z2</f>
        <v>164.83599999999998</v>
      </c>
      <c r="AG2" s="10"/>
      <c r="AH2" s="10"/>
      <c r="AI2" s="10"/>
      <c r="AJ2" s="10"/>
      <c r="AK2" s="10"/>
      <c r="AL2" s="10"/>
      <c r="AM2" s="10"/>
      <c r="AN2" s="10"/>
      <c r="AO2" s="10"/>
      <c r="AP2" s="10"/>
      <c r="AQ2" s="10"/>
      <c r="AR2" s="10"/>
      <c r="AS2" s="10"/>
      <c r="AT2" s="10"/>
      <c r="AU2" s="10"/>
      <c r="AV2" s="10"/>
      <c r="AW2" s="10"/>
      <c r="AX2" s="10"/>
    </row>
    <row r="3" spans="1:50" s="2" customFormat="1" ht="33" customHeight="1" x14ac:dyDescent="0.25">
      <c r="A3" s="453" t="s">
        <v>0</v>
      </c>
      <c r="B3" s="453"/>
      <c r="C3" s="453"/>
      <c r="D3" s="453"/>
      <c r="E3" s="453"/>
      <c r="F3" s="453"/>
      <c r="G3" s="453"/>
      <c r="H3" s="453"/>
      <c r="I3" s="453"/>
      <c r="J3" s="453"/>
      <c r="K3" s="453"/>
      <c r="L3" s="453"/>
      <c r="M3" s="453"/>
      <c r="N3" s="453"/>
      <c r="O3" s="453"/>
      <c r="P3" s="453"/>
      <c r="Q3" s="453"/>
      <c r="R3" s="453"/>
      <c r="S3" s="453"/>
      <c r="T3" s="46"/>
      <c r="U3" s="395">
        <v>0.75</v>
      </c>
      <c r="V3" s="57">
        <f t="shared" ref="V3:V12" si="2">U3*0.7</f>
        <v>0.52499999999999991</v>
      </c>
      <c r="W3" s="57">
        <v>30</v>
      </c>
      <c r="X3" s="57">
        <v>4</v>
      </c>
      <c r="Y3" s="57">
        <f t="shared" ref="Y3:Y12" si="3">(X3/(W3*60))*1000</f>
        <v>2.2222222222222223</v>
      </c>
      <c r="Z3" s="57">
        <f t="shared" si="0"/>
        <v>2.7562499999999988</v>
      </c>
      <c r="AA3" s="57">
        <f t="shared" ref="AA3:AA12" si="4">(Z3-8)*100</f>
        <v>-524.37500000000011</v>
      </c>
      <c r="AB3" s="57">
        <f t="shared" ref="AB3:AB12" si="5">Y3</f>
        <v>2.2222222222222223</v>
      </c>
      <c r="AC3">
        <f t="shared" ref="AC3:AC12" si="6">AA3/AB3</f>
        <v>-235.96875000000003</v>
      </c>
      <c r="AD3">
        <f t="shared" si="1"/>
        <v>-712.29062136532286</v>
      </c>
      <c r="AE3">
        <f t="shared" ref="AE3:AE12" si="7">(X3/(W3*60))*1000</f>
        <v>2.2222222222222223</v>
      </c>
      <c r="AF3" s="10">
        <f t="shared" ref="AF3:AF12" si="8">100*Z3</f>
        <v>275.62499999999989</v>
      </c>
      <c r="AG3" s="9"/>
      <c r="AH3" s="9"/>
      <c r="AI3" s="9"/>
      <c r="AJ3" s="9"/>
      <c r="AK3" s="9"/>
      <c r="AL3" s="9"/>
      <c r="AM3" s="9"/>
      <c r="AN3" s="9"/>
      <c r="AO3" s="9"/>
      <c r="AP3" s="9"/>
      <c r="AQ3" s="9"/>
      <c r="AR3" s="9"/>
      <c r="AS3" s="9"/>
      <c r="AT3" s="9"/>
      <c r="AU3" s="9"/>
      <c r="AV3" s="9"/>
      <c r="AW3" s="9"/>
      <c r="AX3" s="9"/>
    </row>
    <row r="4" spans="1:50" ht="20.399999999999999" x14ac:dyDescent="0.25">
      <c r="A4" s="5"/>
      <c r="B4" s="439"/>
      <c r="C4" s="439"/>
      <c r="D4" s="439"/>
      <c r="E4" s="439"/>
      <c r="F4" s="5"/>
      <c r="G4" s="14"/>
      <c r="H4" s="14"/>
      <c r="I4" s="14"/>
      <c r="J4" s="14"/>
      <c r="K4" s="14"/>
      <c r="L4" s="14"/>
      <c r="M4" s="14"/>
      <c r="N4" s="391"/>
      <c r="O4" s="14"/>
      <c r="P4" s="14"/>
      <c r="Q4" s="14"/>
      <c r="R4" s="14"/>
      <c r="S4" s="14"/>
      <c r="U4" s="395">
        <v>0.91</v>
      </c>
      <c r="V4" s="57">
        <f t="shared" si="2"/>
        <v>0.63700000000000001</v>
      </c>
      <c r="W4" s="57">
        <v>5</v>
      </c>
      <c r="X4" s="57">
        <v>2</v>
      </c>
      <c r="Y4" s="57">
        <f t="shared" si="3"/>
        <v>6.666666666666667</v>
      </c>
      <c r="Z4" s="57">
        <f t="shared" si="0"/>
        <v>4.05769</v>
      </c>
      <c r="AA4" s="57">
        <f t="shared" si="4"/>
        <v>-394.23099999999999</v>
      </c>
      <c r="AB4" s="57">
        <f t="shared" si="5"/>
        <v>6.666666666666667</v>
      </c>
      <c r="AC4">
        <f t="shared" si="6"/>
        <v>-59.134649999999993</v>
      </c>
      <c r="AD4">
        <f t="shared" si="1"/>
        <v>-530.81611811789992</v>
      </c>
      <c r="AE4">
        <f t="shared" si="7"/>
        <v>6.666666666666667</v>
      </c>
      <c r="AF4" s="10">
        <f t="shared" si="8"/>
        <v>405.76900000000001</v>
      </c>
    </row>
    <row r="5" spans="1:50" ht="20.399999999999999" x14ac:dyDescent="0.25">
      <c r="A5" s="7"/>
      <c r="B5" s="440"/>
      <c r="C5" s="440"/>
      <c r="D5" s="440"/>
      <c r="E5" s="440"/>
      <c r="F5" s="7"/>
      <c r="G5" s="14"/>
      <c r="H5" s="14"/>
      <c r="I5" s="14"/>
      <c r="J5" s="14"/>
      <c r="K5" s="14"/>
      <c r="L5" s="14"/>
      <c r="M5" s="14"/>
      <c r="N5" s="391"/>
      <c r="O5" s="14"/>
      <c r="P5" s="14"/>
      <c r="Q5" s="14"/>
      <c r="R5" s="14"/>
      <c r="S5" s="14"/>
      <c r="U5" s="395">
        <v>1.04</v>
      </c>
      <c r="V5" s="57">
        <f t="shared" si="2"/>
        <v>0.72799999999999998</v>
      </c>
      <c r="W5" s="57">
        <v>10</v>
      </c>
      <c r="X5" s="57">
        <v>9.85</v>
      </c>
      <c r="Y5" s="57">
        <f t="shared" si="3"/>
        <v>16.416666666666668</v>
      </c>
      <c r="Z5" s="57">
        <f t="shared" si="0"/>
        <v>5.2998400000000006</v>
      </c>
      <c r="AA5" s="57">
        <f t="shared" si="4"/>
        <v>-270.01599999999996</v>
      </c>
      <c r="AB5" s="57">
        <f t="shared" si="5"/>
        <v>16.416666666666668</v>
      </c>
      <c r="AC5">
        <f t="shared" si="6"/>
        <v>-16.447675126903551</v>
      </c>
      <c r="AD5">
        <f t="shared" si="1"/>
        <v>-360.55052535775172</v>
      </c>
      <c r="AE5">
        <f t="shared" si="7"/>
        <v>16.416666666666668</v>
      </c>
      <c r="AF5" s="10">
        <f t="shared" si="8"/>
        <v>529.98400000000004</v>
      </c>
    </row>
    <row r="6" spans="1:50" ht="18.75" customHeight="1" x14ac:dyDescent="0.25">
      <c r="A6" s="5"/>
      <c r="B6" s="457" t="s">
        <v>290</v>
      </c>
      <c r="C6" s="457"/>
      <c r="D6" s="458" t="s">
        <v>291</v>
      </c>
      <c r="E6" s="458"/>
      <c r="F6" s="5"/>
      <c r="G6" s="441"/>
      <c r="H6" s="441"/>
      <c r="I6" s="441"/>
      <c r="J6" s="441"/>
      <c r="K6" s="441"/>
      <c r="L6" s="14"/>
      <c r="M6" s="287" t="s">
        <v>302</v>
      </c>
      <c r="N6" s="392">
        <f>J46</f>
        <v>115.42748347530143</v>
      </c>
      <c r="O6" s="444"/>
      <c r="P6" s="444"/>
      <c r="Q6" s="6"/>
      <c r="R6" s="14"/>
      <c r="S6" s="14"/>
      <c r="U6" s="395">
        <v>1.31</v>
      </c>
      <c r="V6" s="57">
        <f t="shared" si="2"/>
        <v>0.91699999999999993</v>
      </c>
      <c r="W6" s="57">
        <v>4</v>
      </c>
      <c r="X6" s="57">
        <v>20.55</v>
      </c>
      <c r="Y6" s="57">
        <f t="shared" si="3"/>
        <v>85.625</v>
      </c>
      <c r="Z6" s="57">
        <f t="shared" si="0"/>
        <v>8.4088899999999978</v>
      </c>
      <c r="AA6" s="57">
        <f t="shared" si="4"/>
        <v>40.888999999999776</v>
      </c>
      <c r="AB6" s="57">
        <f t="shared" si="5"/>
        <v>85.625</v>
      </c>
      <c r="AC6">
        <f t="shared" si="6"/>
        <v>0.47753576642335505</v>
      </c>
      <c r="AD6">
        <f>AA6/(0.7624+0.00005*AA6)</f>
        <v>53.488517053135489</v>
      </c>
      <c r="AE6">
        <f t="shared" si="7"/>
        <v>85.625</v>
      </c>
      <c r="AF6" s="10">
        <f t="shared" si="8"/>
        <v>840.88899999999978</v>
      </c>
    </row>
    <row r="7" spans="1:50" ht="18.75" customHeight="1" x14ac:dyDescent="0.25">
      <c r="A7" s="5"/>
      <c r="B7" s="454" t="s">
        <v>304</v>
      </c>
      <c r="C7" s="454"/>
      <c r="D7" s="455" t="s">
        <v>305</v>
      </c>
      <c r="E7" s="455"/>
      <c r="F7" s="5"/>
      <c r="G7" s="441"/>
      <c r="H7" s="441"/>
      <c r="I7" s="441"/>
      <c r="J7" s="441"/>
      <c r="K7" s="441"/>
      <c r="L7" s="14"/>
      <c r="M7" s="287" t="s">
        <v>238</v>
      </c>
      <c r="N7" s="392">
        <f>J45</f>
        <v>-6.9886154005758053E-2</v>
      </c>
      <c r="O7" s="444"/>
      <c r="P7" s="444"/>
      <c r="Q7" s="13"/>
      <c r="R7" s="14"/>
      <c r="S7" s="14"/>
      <c r="U7" s="395">
        <v>1.55</v>
      </c>
      <c r="V7" s="57">
        <f t="shared" si="2"/>
        <v>1.085</v>
      </c>
      <c r="W7" s="57">
        <v>4</v>
      </c>
      <c r="X7" s="57">
        <v>32.950000000000003</v>
      </c>
      <c r="Y7" s="57">
        <f t="shared" si="3"/>
        <v>137.29166666666669</v>
      </c>
      <c r="Z7" s="57">
        <f t="shared" si="0"/>
        <v>11.77225</v>
      </c>
      <c r="AA7" s="57">
        <f t="shared" si="4"/>
        <v>377.22499999999997</v>
      </c>
      <c r="AB7" s="57">
        <f t="shared" si="5"/>
        <v>137.29166666666669</v>
      </c>
      <c r="AC7">
        <f t="shared" si="6"/>
        <v>2.7476176024279204</v>
      </c>
      <c r="AD7">
        <f t="shared" ref="AD7:AD12" si="9">AA7/(0.7624+0.00005*AA7)</f>
        <v>482.84104708892187</v>
      </c>
      <c r="AE7">
        <f t="shared" si="7"/>
        <v>137.29166666666669</v>
      </c>
      <c r="AF7" s="10">
        <f t="shared" si="8"/>
        <v>1177.2249999999999</v>
      </c>
    </row>
    <row r="8" spans="1:50" ht="21" x14ac:dyDescent="0.25">
      <c r="A8" s="5"/>
      <c r="B8" s="390" t="s">
        <v>292</v>
      </c>
      <c r="C8" s="400">
        <v>0.42735042735042733</v>
      </c>
      <c r="D8" s="390" t="s">
        <v>295</v>
      </c>
      <c r="E8" s="402">
        <v>164.83599999999998</v>
      </c>
      <c r="F8" s="5"/>
      <c r="G8" s="441"/>
      <c r="H8" s="441"/>
      <c r="I8" s="441"/>
      <c r="J8" s="441"/>
      <c r="K8" s="441"/>
      <c r="L8" s="14"/>
      <c r="M8" s="287" t="s">
        <v>289</v>
      </c>
      <c r="N8" s="392">
        <f>1/N7/3600</f>
        <v>-3.9747183362657378E-3</v>
      </c>
      <c r="O8" s="456" t="s">
        <v>303</v>
      </c>
      <c r="P8" s="444"/>
      <c r="Q8" s="13"/>
      <c r="R8" s="14"/>
      <c r="S8" s="14"/>
      <c r="U8" s="395">
        <v>1.85</v>
      </c>
      <c r="V8" s="57">
        <f t="shared" si="2"/>
        <v>1.2949999999999999</v>
      </c>
      <c r="W8" s="57">
        <v>3</v>
      </c>
      <c r="X8" s="57">
        <v>59.95</v>
      </c>
      <c r="Y8" s="57">
        <f t="shared" si="3"/>
        <v>333.05555555555554</v>
      </c>
      <c r="Z8" s="57">
        <f t="shared" si="0"/>
        <v>16.770249999999997</v>
      </c>
      <c r="AA8" s="57">
        <f t="shared" si="4"/>
        <v>877.02499999999975</v>
      </c>
      <c r="AB8" s="57">
        <f t="shared" si="5"/>
        <v>333.05555555555554</v>
      </c>
      <c r="AC8">
        <f t="shared" si="6"/>
        <v>2.6332693911592986</v>
      </c>
      <c r="AD8">
        <f t="shared" si="9"/>
        <v>1087.7812592538614</v>
      </c>
      <c r="AE8">
        <f t="shared" si="7"/>
        <v>333.05555555555554</v>
      </c>
      <c r="AF8" s="10">
        <f t="shared" si="8"/>
        <v>1677.0249999999996</v>
      </c>
    </row>
    <row r="9" spans="1:50" ht="20.399999999999999" x14ac:dyDescent="0.25">
      <c r="A9" s="5"/>
      <c r="B9" s="390" t="s">
        <v>293</v>
      </c>
      <c r="C9" s="400">
        <v>2.2222222222222223</v>
      </c>
      <c r="D9" s="403" t="s">
        <v>296</v>
      </c>
      <c r="E9" s="402">
        <v>275.62499999999989</v>
      </c>
      <c r="F9" s="5"/>
      <c r="G9" s="14"/>
      <c r="H9" s="14"/>
      <c r="I9" s="14"/>
      <c r="J9" s="14"/>
      <c r="K9" s="14"/>
      <c r="L9" s="14"/>
      <c r="M9" s="443"/>
      <c r="N9" s="443"/>
      <c r="O9" s="443"/>
      <c r="P9" s="14"/>
      <c r="Q9" s="13"/>
      <c r="R9" s="14"/>
      <c r="S9" s="14"/>
      <c r="U9" s="395">
        <v>2.0299999999999998</v>
      </c>
      <c r="V9" s="57">
        <f t="shared" si="2"/>
        <v>1.4209999999999998</v>
      </c>
      <c r="W9" s="57">
        <v>2</v>
      </c>
      <c r="X9" s="57">
        <v>66.27</v>
      </c>
      <c r="Y9" s="57">
        <f t="shared" si="3"/>
        <v>552.25</v>
      </c>
      <c r="Z9" s="57">
        <f t="shared" ref="Z9:Z12" si="10">1000*V9*V9/4*0.04</f>
        <v>20.192409999999995</v>
      </c>
      <c r="AA9" s="57">
        <f t="shared" si="4"/>
        <v>1219.2409999999995</v>
      </c>
      <c r="AB9" s="57">
        <f t="shared" si="5"/>
        <v>552.25</v>
      </c>
      <c r="AC9">
        <f t="shared" si="6"/>
        <v>2.207770031688546</v>
      </c>
      <c r="AD9">
        <f t="shared" si="9"/>
        <v>1480.8078657499452</v>
      </c>
      <c r="AE9">
        <f t="shared" si="7"/>
        <v>552.25</v>
      </c>
      <c r="AF9" s="10">
        <f t="shared" si="8"/>
        <v>2019.2409999999995</v>
      </c>
    </row>
    <row r="10" spans="1:50" ht="20.399999999999999" x14ac:dyDescent="0.25">
      <c r="A10" s="5"/>
      <c r="B10" s="390" t="s">
        <v>294</v>
      </c>
      <c r="C10" s="401">
        <v>6.666666666666667</v>
      </c>
      <c r="D10" s="403" t="s">
        <v>297</v>
      </c>
      <c r="E10" s="402">
        <v>405.76900000000001</v>
      </c>
      <c r="F10" s="5"/>
      <c r="G10" s="14"/>
      <c r="H10" s="14"/>
      <c r="I10" s="14"/>
      <c r="J10" s="14"/>
      <c r="K10" s="14"/>
      <c r="L10" s="14"/>
      <c r="M10" s="14"/>
      <c r="N10" s="391"/>
      <c r="O10" s="14"/>
      <c r="P10" s="14"/>
      <c r="Q10" s="15"/>
      <c r="R10" s="14"/>
      <c r="S10" s="14"/>
      <c r="U10" s="395">
        <v>2.3199999999999998</v>
      </c>
      <c r="V10" s="57">
        <f t="shared" si="2"/>
        <v>1.6239999999999999</v>
      </c>
      <c r="W10" s="57">
        <v>1</v>
      </c>
      <c r="X10" s="57">
        <v>72.7</v>
      </c>
      <c r="Y10" s="57">
        <f t="shared" si="3"/>
        <v>1211.6666666666667</v>
      </c>
      <c r="Z10" s="57">
        <f>1000*V10*V10/4*0.04</f>
        <v>26.373759999999997</v>
      </c>
      <c r="AA10" s="57">
        <f t="shared" si="4"/>
        <v>1837.3759999999997</v>
      </c>
      <c r="AB10" s="57">
        <f t="shared" si="5"/>
        <v>1211.6666666666667</v>
      </c>
      <c r="AC10">
        <f t="shared" si="6"/>
        <v>1.5164038514442912</v>
      </c>
      <c r="AD10">
        <f t="shared" si="9"/>
        <v>2150.8171666810258</v>
      </c>
      <c r="AE10">
        <f t="shared" si="7"/>
        <v>1211.6666666666667</v>
      </c>
      <c r="AF10" s="10">
        <f t="shared" si="8"/>
        <v>2637.3759999999997</v>
      </c>
    </row>
    <row r="11" spans="1:50" ht="20.399999999999999" x14ac:dyDescent="0.25">
      <c r="A11" s="5"/>
      <c r="B11" s="390" t="s">
        <v>317</v>
      </c>
      <c r="C11" s="401">
        <v>16.416666666666668</v>
      </c>
      <c r="D11" s="390" t="s">
        <v>325</v>
      </c>
      <c r="E11" s="402">
        <v>529.98400000000004</v>
      </c>
      <c r="F11" s="5"/>
      <c r="G11" s="14"/>
      <c r="H11" s="14"/>
      <c r="I11" s="14"/>
      <c r="J11" s="14"/>
      <c r="K11" s="14"/>
      <c r="L11" s="14"/>
      <c r="M11" s="436"/>
      <c r="N11" s="437"/>
      <c r="O11" s="437"/>
      <c r="P11" s="437"/>
      <c r="Q11" s="16"/>
      <c r="R11" s="14"/>
      <c r="S11" s="14"/>
      <c r="U11" s="395">
        <v>2.68</v>
      </c>
      <c r="V11" s="57">
        <f t="shared" si="2"/>
        <v>1.8759999999999999</v>
      </c>
      <c r="W11" s="57">
        <v>0.5</v>
      </c>
      <c r="X11" s="57">
        <v>73.55</v>
      </c>
      <c r="Y11" s="57">
        <f t="shared" si="3"/>
        <v>2451.6666666666665</v>
      </c>
      <c r="Z11" s="57">
        <f t="shared" si="10"/>
        <v>35.193759999999997</v>
      </c>
      <c r="AA11" s="57">
        <f t="shared" si="4"/>
        <v>2719.3759999999997</v>
      </c>
      <c r="AB11" s="57">
        <f t="shared" si="5"/>
        <v>2451.6666666666665</v>
      </c>
      <c r="AC11">
        <f t="shared" si="6"/>
        <v>1.1091948334466348</v>
      </c>
      <c r="AD11">
        <f t="shared" si="9"/>
        <v>3027.0151857455421</v>
      </c>
      <c r="AE11">
        <f t="shared" si="7"/>
        <v>2451.6666666666665</v>
      </c>
      <c r="AF11" s="10">
        <f t="shared" si="8"/>
        <v>3519.3759999999997</v>
      </c>
    </row>
    <row r="12" spans="1:50" ht="20.399999999999999" x14ac:dyDescent="0.25">
      <c r="A12" s="5"/>
      <c r="B12" s="390" t="s">
        <v>318</v>
      </c>
      <c r="C12" s="404">
        <v>85.625</v>
      </c>
      <c r="D12" s="403" t="s">
        <v>326</v>
      </c>
      <c r="E12" s="404">
        <v>840.88899999999978</v>
      </c>
      <c r="F12" s="5"/>
      <c r="G12" s="14"/>
      <c r="H12" s="14"/>
      <c r="I12" s="14"/>
      <c r="J12" s="14"/>
      <c r="K12" s="14"/>
      <c r="L12" s="14"/>
      <c r="M12" s="14"/>
      <c r="N12" s="391"/>
      <c r="O12" s="14"/>
      <c r="P12" s="14"/>
      <c r="Q12" s="14"/>
      <c r="R12" s="14"/>
      <c r="S12" s="14"/>
      <c r="U12" s="395">
        <v>3</v>
      </c>
      <c r="V12" s="57">
        <f t="shared" si="2"/>
        <v>2.0999999999999996</v>
      </c>
      <c r="W12" s="57">
        <v>0.5</v>
      </c>
      <c r="X12" s="57">
        <v>96.88</v>
      </c>
      <c r="Y12" s="57">
        <f t="shared" si="3"/>
        <v>3229.3333333333335</v>
      </c>
      <c r="Z12" s="57">
        <f t="shared" si="10"/>
        <v>44.09999999999998</v>
      </c>
      <c r="AA12" s="57">
        <f t="shared" si="4"/>
        <v>3609.9999999999982</v>
      </c>
      <c r="AB12" s="57">
        <f t="shared" si="5"/>
        <v>3229.3333333333335</v>
      </c>
      <c r="AC12">
        <f t="shared" si="6"/>
        <v>1.1178777869529308</v>
      </c>
      <c r="AD12">
        <f t="shared" si="9"/>
        <v>3828.6138508855647</v>
      </c>
      <c r="AE12">
        <f t="shared" si="7"/>
        <v>3229.3333333333335</v>
      </c>
      <c r="AF12" s="10">
        <f t="shared" si="8"/>
        <v>4409.9999999999982</v>
      </c>
    </row>
    <row r="13" spans="1:50" ht="15.6" x14ac:dyDescent="0.25">
      <c r="A13" s="5"/>
      <c r="B13" s="390" t="s">
        <v>319</v>
      </c>
      <c r="C13" s="401">
        <v>137.29166666666669</v>
      </c>
      <c r="D13" s="403" t="s">
        <v>327</v>
      </c>
      <c r="E13" s="402">
        <v>1177.2249999999999</v>
      </c>
      <c r="F13" s="5"/>
      <c r="G13" s="14"/>
      <c r="H13" s="14"/>
      <c r="I13" s="14"/>
      <c r="J13" s="14"/>
      <c r="K13" s="14"/>
      <c r="L13" s="14"/>
      <c r="M13" s="14"/>
      <c r="N13" s="391"/>
      <c r="O13" s="14"/>
      <c r="P13" s="14"/>
      <c r="Q13" s="14"/>
      <c r="R13" s="14"/>
      <c r="S13" s="14"/>
      <c r="AA13" s="57"/>
    </row>
    <row r="14" spans="1:50" ht="15.6" x14ac:dyDescent="0.25">
      <c r="A14" s="5"/>
      <c r="B14" s="390" t="s">
        <v>320</v>
      </c>
      <c r="C14" s="404">
        <v>333.05555555555554</v>
      </c>
      <c r="D14" s="390" t="s">
        <v>328</v>
      </c>
      <c r="E14" s="402">
        <v>1677.0249999999996</v>
      </c>
      <c r="F14" s="5"/>
      <c r="G14" s="14"/>
      <c r="H14" s="14"/>
      <c r="I14" s="14"/>
      <c r="J14" s="14"/>
      <c r="K14" s="14"/>
      <c r="L14" s="14"/>
      <c r="M14" s="14"/>
      <c r="N14" s="391"/>
      <c r="O14" s="14"/>
      <c r="P14" s="14"/>
      <c r="Q14" s="14"/>
      <c r="R14" s="14"/>
      <c r="S14" s="14"/>
      <c r="Z14" s="23"/>
      <c r="AA14" s="23"/>
    </row>
    <row r="15" spans="1:50" ht="15.6" x14ac:dyDescent="0.25">
      <c r="A15" s="5"/>
      <c r="B15" s="390" t="s">
        <v>321</v>
      </c>
      <c r="C15" s="401">
        <v>552.25</v>
      </c>
      <c r="D15" s="403" t="s">
        <v>329</v>
      </c>
      <c r="E15" s="402">
        <v>2019.2409999999995</v>
      </c>
      <c r="F15" s="5"/>
      <c r="G15" s="14"/>
      <c r="H15" s="14"/>
      <c r="I15" s="14"/>
      <c r="J15" s="14"/>
      <c r="K15" s="14"/>
      <c r="L15" s="14"/>
      <c r="M15" s="14"/>
      <c r="N15" s="391"/>
      <c r="O15" s="14"/>
      <c r="P15" s="14"/>
      <c r="Q15" s="14"/>
      <c r="R15" s="14"/>
      <c r="S15" s="14"/>
      <c r="Z15" s="23"/>
      <c r="AA15" s="23"/>
    </row>
    <row r="16" spans="1:50" ht="15.6" x14ac:dyDescent="0.25">
      <c r="A16" s="5"/>
      <c r="B16" s="390" t="s">
        <v>322</v>
      </c>
      <c r="C16" s="404">
        <v>1211.6666666666667</v>
      </c>
      <c r="D16" s="403" t="s">
        <v>330</v>
      </c>
      <c r="E16" s="402">
        <v>2637.3759999999997</v>
      </c>
      <c r="F16" s="5"/>
      <c r="G16" s="14"/>
      <c r="H16" s="14"/>
      <c r="I16" s="14"/>
      <c r="J16" s="14"/>
      <c r="K16" s="14"/>
      <c r="L16" s="14"/>
      <c r="M16" s="14"/>
      <c r="N16" s="391"/>
      <c r="O16" s="14"/>
      <c r="P16" s="14"/>
      <c r="Q16" s="14"/>
      <c r="R16" s="14"/>
      <c r="S16" s="14"/>
    </row>
    <row r="17" spans="1:19" ht="15.6" x14ac:dyDescent="0.25">
      <c r="A17" s="5"/>
      <c r="B17" s="390" t="s">
        <v>323</v>
      </c>
      <c r="C17" s="404">
        <v>2451.6666666666665</v>
      </c>
      <c r="D17" s="390" t="s">
        <v>331</v>
      </c>
      <c r="E17" s="402">
        <v>3519.3759999999997</v>
      </c>
      <c r="F17" s="5"/>
      <c r="G17" s="14"/>
      <c r="H17" s="14"/>
      <c r="I17" s="14"/>
      <c r="J17" s="14"/>
      <c r="K17" s="14"/>
      <c r="L17" s="14"/>
      <c r="M17" s="14"/>
      <c r="N17" s="391"/>
      <c r="O17" s="14"/>
      <c r="P17" s="14"/>
      <c r="Q17" s="14"/>
      <c r="R17" s="14"/>
      <c r="S17" s="14"/>
    </row>
    <row r="18" spans="1:19" ht="15.6" x14ac:dyDescent="0.25">
      <c r="A18" s="5"/>
      <c r="B18" s="390" t="s">
        <v>324</v>
      </c>
      <c r="C18" s="404">
        <v>3229.3333333333335</v>
      </c>
      <c r="D18" s="403" t="s">
        <v>332</v>
      </c>
      <c r="E18" s="402">
        <v>4409.9999999999982</v>
      </c>
      <c r="F18" s="5"/>
      <c r="G18" s="14"/>
      <c r="H18" s="14"/>
      <c r="I18" s="14"/>
      <c r="J18" s="14"/>
      <c r="K18" s="14"/>
      <c r="L18" s="14"/>
      <c r="M18" s="14"/>
      <c r="N18" s="391"/>
      <c r="O18" s="17"/>
      <c r="P18" s="14"/>
      <c r="Q18" s="14"/>
      <c r="R18" s="14"/>
      <c r="S18" s="14"/>
    </row>
    <row r="19" spans="1:19" x14ac:dyDescent="0.25">
      <c r="A19" s="5"/>
      <c r="B19" s="388"/>
      <c r="C19" s="50"/>
      <c r="D19" s="50"/>
      <c r="E19" s="388"/>
      <c r="F19" s="5"/>
      <c r="G19" s="14"/>
      <c r="H19" s="14"/>
      <c r="I19" s="14"/>
      <c r="J19" s="14"/>
      <c r="K19" s="14"/>
      <c r="L19" s="14"/>
      <c r="M19" s="14"/>
      <c r="N19" s="391"/>
      <c r="O19" s="14"/>
      <c r="P19" s="14"/>
      <c r="Q19" s="14"/>
      <c r="R19" s="14"/>
      <c r="S19" s="14"/>
    </row>
    <row r="20" spans="1:19" x14ac:dyDescent="0.25">
      <c r="A20" s="5"/>
      <c r="B20" s="388"/>
      <c r="C20" s="388"/>
      <c r="D20" s="388"/>
      <c r="E20" s="388"/>
      <c r="F20" s="5"/>
      <c r="G20" s="14"/>
      <c r="H20" s="14"/>
      <c r="I20" s="14"/>
      <c r="J20" s="14"/>
      <c r="K20" s="14"/>
      <c r="L20" s="14"/>
      <c r="M20" s="14"/>
      <c r="N20" s="391"/>
      <c r="O20" s="14"/>
      <c r="P20" s="14"/>
      <c r="Q20" s="14"/>
      <c r="R20" s="14"/>
      <c r="S20" s="14"/>
    </row>
    <row r="21" spans="1:19" x14ac:dyDescent="0.25">
      <c r="A21" s="5"/>
      <c r="B21" s="14"/>
      <c r="C21" s="14"/>
      <c r="D21" s="14"/>
      <c r="E21" s="14"/>
      <c r="F21" s="5"/>
      <c r="G21" s="14"/>
      <c r="H21" s="14"/>
      <c r="I21" s="14"/>
      <c r="J21" s="14"/>
      <c r="K21" s="14"/>
      <c r="L21" s="14"/>
      <c r="M21" s="14"/>
      <c r="N21" s="391"/>
      <c r="O21" s="14"/>
      <c r="P21" s="14"/>
      <c r="Q21" s="14"/>
      <c r="R21" s="14"/>
      <c r="S21" s="14"/>
    </row>
    <row r="22" spans="1:19" ht="18" customHeight="1" x14ac:dyDescent="0.25">
      <c r="A22" s="5"/>
      <c r="B22" s="14"/>
      <c r="C22" s="14"/>
      <c r="D22" s="14"/>
      <c r="E22" s="14"/>
      <c r="F22" s="5"/>
      <c r="G22" s="14"/>
      <c r="H22" s="14"/>
      <c r="I22" s="14"/>
      <c r="J22" s="14"/>
      <c r="K22" s="14"/>
      <c r="L22" s="14"/>
      <c r="M22" s="14"/>
      <c r="N22" s="391"/>
      <c r="O22" s="14"/>
      <c r="P22" s="14"/>
      <c r="Q22" s="14"/>
      <c r="R22" s="14"/>
      <c r="S22" s="14"/>
    </row>
    <row r="23" spans="1:19" ht="10.5" customHeight="1" x14ac:dyDescent="0.25">
      <c r="A23" s="5"/>
      <c r="B23" s="14"/>
      <c r="C23" s="14"/>
      <c r="D23" s="14"/>
      <c r="E23" s="14"/>
      <c r="F23" s="5"/>
      <c r="G23" s="387"/>
      <c r="H23" s="387"/>
      <c r="I23" s="387"/>
      <c r="J23" s="387"/>
      <c r="K23" s="14"/>
      <c r="L23" s="14"/>
      <c r="M23" s="14"/>
      <c r="N23" s="391"/>
      <c r="O23" s="14"/>
      <c r="P23" s="14"/>
      <c r="Q23" s="14"/>
      <c r="R23" s="14"/>
      <c r="S23" s="14"/>
    </row>
    <row r="24" spans="1:19" x14ac:dyDescent="0.25">
      <c r="A24" s="5"/>
      <c r="B24" s="19"/>
      <c r="C24" s="19"/>
      <c r="D24" s="19"/>
      <c r="E24" s="19"/>
      <c r="F24" s="5"/>
      <c r="G24" s="14"/>
      <c r="H24" s="14"/>
      <c r="I24" s="14"/>
      <c r="J24" s="14"/>
      <c r="K24" s="14"/>
      <c r="L24" s="14"/>
      <c r="M24" s="14"/>
      <c r="N24" s="391"/>
      <c r="O24" s="14"/>
      <c r="P24" s="14"/>
      <c r="Q24" s="14"/>
      <c r="R24" s="14"/>
      <c r="S24" s="14"/>
    </row>
    <row r="25" spans="1:19" x14ac:dyDescent="0.25">
      <c r="A25" s="14"/>
      <c r="B25" s="14"/>
      <c r="C25" s="14"/>
      <c r="D25" s="14"/>
      <c r="E25" s="48"/>
      <c r="F25" s="14"/>
      <c r="G25" s="14"/>
      <c r="H25" s="14"/>
      <c r="I25" s="14"/>
      <c r="J25" s="14"/>
      <c r="K25" s="14"/>
      <c r="L25" s="14"/>
      <c r="M25" s="14"/>
      <c r="N25" s="391"/>
      <c r="O25" s="14"/>
      <c r="P25" s="14"/>
      <c r="Q25" s="14"/>
      <c r="R25" s="14"/>
      <c r="S25" s="14"/>
    </row>
    <row r="26" spans="1:19" x14ac:dyDescent="0.25">
      <c r="A26" s="14"/>
      <c r="B26" s="14"/>
      <c r="C26" s="14"/>
      <c r="D26" s="14"/>
      <c r="E26" s="14"/>
      <c r="F26" s="14"/>
      <c r="G26" s="14"/>
      <c r="H26" s="14"/>
      <c r="I26" s="14"/>
      <c r="J26" s="14"/>
      <c r="K26" s="14"/>
      <c r="L26" s="14"/>
      <c r="M26" s="14"/>
      <c r="N26" s="391"/>
      <c r="O26" s="14"/>
      <c r="P26" s="14"/>
      <c r="Q26" s="14"/>
      <c r="R26" s="14"/>
      <c r="S26" s="14"/>
    </row>
    <row r="27" spans="1:19" x14ac:dyDescent="0.25">
      <c r="A27" s="14"/>
      <c r="B27" s="14"/>
      <c r="C27" s="14"/>
      <c r="D27" s="14"/>
      <c r="E27" s="14"/>
      <c r="F27" s="14"/>
      <c r="G27" s="14"/>
      <c r="H27" s="14"/>
      <c r="I27" s="14"/>
      <c r="J27" s="14"/>
      <c r="K27" s="14"/>
      <c r="L27" s="14"/>
      <c r="M27" s="14"/>
      <c r="N27" s="391"/>
      <c r="O27" s="14"/>
      <c r="P27" s="14"/>
      <c r="Q27" s="14"/>
      <c r="R27" s="14"/>
      <c r="S27" s="14"/>
    </row>
    <row r="28" spans="1:19" x14ac:dyDescent="0.25">
      <c r="A28" s="14"/>
      <c r="B28" s="14"/>
      <c r="C28" s="14"/>
      <c r="D28" s="14"/>
      <c r="E28" s="14"/>
      <c r="F28" s="14"/>
      <c r="G28" s="14"/>
      <c r="H28" s="14"/>
      <c r="I28" s="14"/>
      <c r="J28" s="14"/>
      <c r="K28" s="14"/>
      <c r="L28" s="14"/>
      <c r="M28" s="14"/>
      <c r="N28" s="391"/>
      <c r="O28" s="14"/>
      <c r="P28" s="14"/>
      <c r="Q28" s="14"/>
      <c r="R28" s="14"/>
      <c r="S28" s="14"/>
    </row>
    <row r="29" spans="1:19" x14ac:dyDescent="0.25">
      <c r="A29" s="389"/>
      <c r="B29" s="389"/>
      <c r="F29" s="389" t="s">
        <v>298</v>
      </c>
      <c r="G29" s="389" t="s">
        <v>299</v>
      </c>
      <c r="I29" t="s">
        <v>72</v>
      </c>
      <c r="N29"/>
    </row>
    <row r="30" spans="1:19" ht="15" thickBot="1" x14ac:dyDescent="0.3">
      <c r="C30" s="396"/>
      <c r="D30" s="396"/>
      <c r="F30" s="397">
        <f>1/E8</f>
        <v>6.0666359290446267E-3</v>
      </c>
      <c r="G30" s="397">
        <f t="shared" ref="G30:G40" si="11">1/C8</f>
        <v>2.3400000000000003</v>
      </c>
      <c r="H30" s="397"/>
      <c r="N30"/>
    </row>
    <row r="31" spans="1:19" x14ac:dyDescent="0.25">
      <c r="C31" s="396"/>
      <c r="D31" s="396"/>
      <c r="F31" s="397">
        <f t="shared" ref="F31:F40" si="12">1/E9</f>
        <v>3.628117913832201E-3</v>
      </c>
      <c r="G31" s="397">
        <f t="shared" si="11"/>
        <v>0.44999999999999996</v>
      </c>
      <c r="H31" s="397"/>
      <c r="I31" s="386" t="s">
        <v>73</v>
      </c>
      <c r="J31" s="386"/>
      <c r="N31"/>
    </row>
    <row r="32" spans="1:19" x14ac:dyDescent="0.25">
      <c r="C32" s="396"/>
      <c r="D32" s="396"/>
      <c r="F32" s="397">
        <f t="shared" si="12"/>
        <v>2.4644563778898833E-3</v>
      </c>
      <c r="G32" s="397">
        <f t="shared" si="11"/>
        <v>0.15</v>
      </c>
      <c r="H32" s="397"/>
      <c r="I32" s="383" t="s">
        <v>74</v>
      </c>
      <c r="J32" s="383">
        <v>0.91439687340448139</v>
      </c>
      <c r="N32"/>
    </row>
    <row r="33" spans="3:17" x14ac:dyDescent="0.25">
      <c r="C33" s="396"/>
      <c r="D33" s="396"/>
      <c r="F33" s="397">
        <f t="shared" si="12"/>
        <v>1.8868494143219417E-3</v>
      </c>
      <c r="G33" s="397">
        <f t="shared" si="11"/>
        <v>6.091370558375634E-2</v>
      </c>
      <c r="H33" s="397"/>
      <c r="I33" s="383" t="s">
        <v>75</v>
      </c>
      <c r="J33" s="383">
        <v>0.8361216420918911</v>
      </c>
      <c r="N33"/>
    </row>
    <row r="34" spans="3:17" x14ac:dyDescent="0.25">
      <c r="F34" s="397">
        <f t="shared" si="12"/>
        <v>1.1892176018475688E-3</v>
      </c>
      <c r="G34" s="397">
        <f t="shared" si="11"/>
        <v>1.167883211678832E-2</v>
      </c>
      <c r="H34" s="397"/>
      <c r="I34" s="383" t="s">
        <v>76</v>
      </c>
      <c r="J34" s="383">
        <v>0.81563684735337749</v>
      </c>
      <c r="N34"/>
    </row>
    <row r="35" spans="3:17" x14ac:dyDescent="0.25">
      <c r="F35" s="397">
        <f t="shared" si="12"/>
        <v>8.4945528679734124E-4</v>
      </c>
      <c r="G35" s="397">
        <f t="shared" si="11"/>
        <v>7.2837632776934736E-3</v>
      </c>
      <c r="H35" s="397"/>
      <c r="I35" s="383" t="s">
        <v>77</v>
      </c>
      <c r="J35" s="383">
        <v>6.1029333813447689E-2</v>
      </c>
      <c r="N35"/>
    </row>
    <row r="36" spans="3:17" ht="15" thickBot="1" x14ac:dyDescent="0.3">
      <c r="F36" s="397">
        <f t="shared" si="12"/>
        <v>5.96294032587469E-4</v>
      </c>
      <c r="G36" s="397">
        <f t="shared" si="11"/>
        <v>3.0025020850708924E-3</v>
      </c>
      <c r="H36" s="397"/>
      <c r="I36" s="384" t="s">
        <v>78</v>
      </c>
      <c r="J36" s="384">
        <v>10</v>
      </c>
      <c r="N36"/>
    </row>
    <row r="37" spans="3:17" x14ac:dyDescent="0.25">
      <c r="F37" s="397">
        <f t="shared" si="12"/>
        <v>4.9523558604445939E-4</v>
      </c>
      <c r="G37" s="397">
        <f t="shared" si="11"/>
        <v>1.8107741059302852E-3</v>
      </c>
      <c r="H37" s="397"/>
      <c r="N37"/>
    </row>
    <row r="38" spans="3:17" ht="15" thickBot="1" x14ac:dyDescent="0.3">
      <c r="F38" s="397">
        <f t="shared" si="12"/>
        <v>3.7916474556528917E-4</v>
      </c>
      <c r="G38" s="397">
        <f t="shared" si="11"/>
        <v>8.253094910591471E-4</v>
      </c>
      <c r="H38" s="397"/>
      <c r="I38" t="s">
        <v>79</v>
      </c>
      <c r="N38"/>
    </row>
    <row r="39" spans="3:17" x14ac:dyDescent="0.25">
      <c r="F39" s="397">
        <f t="shared" si="12"/>
        <v>2.8414127959047286E-4</v>
      </c>
      <c r="G39" s="397">
        <f t="shared" si="11"/>
        <v>4.0788579197824614E-4</v>
      </c>
      <c r="H39" s="398"/>
      <c r="I39" s="385"/>
      <c r="J39" s="385" t="s">
        <v>84</v>
      </c>
      <c r="K39" s="385" t="s">
        <v>85</v>
      </c>
      <c r="L39" s="385" t="s">
        <v>86</v>
      </c>
      <c r="M39" s="385" t="s">
        <v>87</v>
      </c>
      <c r="N39" s="385" t="s">
        <v>88</v>
      </c>
    </row>
    <row r="40" spans="3:17" x14ac:dyDescent="0.25">
      <c r="F40" s="397">
        <f t="shared" si="12"/>
        <v>2.2675736961451256E-4</v>
      </c>
      <c r="G40" s="397">
        <f t="shared" si="11"/>
        <v>3.0966143682906687E-4</v>
      </c>
      <c r="H40" s="383"/>
      <c r="I40" s="383" t="s">
        <v>80</v>
      </c>
      <c r="J40" s="383">
        <v>1</v>
      </c>
      <c r="K40" s="383">
        <v>0.15202503315561405</v>
      </c>
      <c r="L40" s="383">
        <v>0.15202503315561405</v>
      </c>
      <c r="M40" s="383">
        <v>40.81669612826984</v>
      </c>
      <c r="N40" s="383">
        <v>2.1164642189950653E-4</v>
      </c>
    </row>
    <row r="41" spans="3:17" x14ac:dyDescent="0.25">
      <c r="F41" s="397"/>
      <c r="G41" s="383"/>
      <c r="H41" s="383"/>
      <c r="I41" s="383" t="s">
        <v>81</v>
      </c>
      <c r="J41" s="383">
        <v>8</v>
      </c>
      <c r="K41" s="383">
        <v>2.9796636685705837E-2</v>
      </c>
      <c r="L41" s="383">
        <v>3.7245795857132297E-3</v>
      </c>
      <c r="M41" s="383"/>
      <c r="N41" s="383"/>
    </row>
    <row r="42" spans="3:17" ht="15" thickBot="1" x14ac:dyDescent="0.3">
      <c r="F42" s="397"/>
      <c r="G42" s="383"/>
      <c r="H42" s="383"/>
      <c r="I42" s="384" t="s">
        <v>82</v>
      </c>
      <c r="J42" s="384">
        <v>9</v>
      </c>
      <c r="K42" s="384">
        <v>0.18182166984131989</v>
      </c>
      <c r="L42" s="384"/>
      <c r="M42" s="384"/>
      <c r="N42" s="384"/>
    </row>
    <row r="43" spans="3:17" ht="15" thickBot="1" x14ac:dyDescent="0.3">
      <c r="F43" s="397"/>
      <c r="G43" s="397"/>
      <c r="H43" s="397"/>
      <c r="N43"/>
    </row>
    <row r="44" spans="3:17" x14ac:dyDescent="0.25">
      <c r="F44" s="397"/>
      <c r="G44" s="398"/>
      <c r="H44" s="398"/>
      <c r="I44" s="385"/>
      <c r="J44" s="385" t="s">
        <v>89</v>
      </c>
      <c r="K44" s="385" t="s">
        <v>77</v>
      </c>
      <c r="L44" s="385" t="s">
        <v>90</v>
      </c>
      <c r="M44" s="385" t="s">
        <v>91</v>
      </c>
      <c r="N44" s="385" t="s">
        <v>92</v>
      </c>
      <c r="O44" s="385" t="s">
        <v>93</v>
      </c>
      <c r="P44" s="385" t="s">
        <v>300</v>
      </c>
      <c r="Q44" s="385" t="s">
        <v>301</v>
      </c>
    </row>
    <row r="45" spans="3:17" x14ac:dyDescent="0.25">
      <c r="F45" s="397"/>
      <c r="G45" s="383"/>
      <c r="H45" s="383"/>
      <c r="I45" s="383" t="s">
        <v>83</v>
      </c>
      <c r="J45" s="383">
        <v>-6.9886154005758053E-2</v>
      </c>
      <c r="K45" s="383">
        <v>2.9025550899399954E-2</v>
      </c>
      <c r="L45" s="383">
        <v>-2.4077459975859687</v>
      </c>
      <c r="M45" s="383">
        <v>4.2657970495821117E-2</v>
      </c>
      <c r="N45" s="383">
        <v>-0.13681919440635337</v>
      </c>
      <c r="O45" s="383">
        <v>-2.9531136051627188E-3</v>
      </c>
      <c r="P45" s="383">
        <v>-0.13681919440635337</v>
      </c>
      <c r="Q45" s="383">
        <v>-2.9531136051627188E-3</v>
      </c>
    </row>
    <row r="46" spans="3:17" ht="15" thickBot="1" x14ac:dyDescent="0.3">
      <c r="F46" s="383"/>
      <c r="G46" s="383"/>
      <c r="H46" s="383"/>
      <c r="I46" s="384">
        <v>6.0666359290446267E-3</v>
      </c>
      <c r="J46" s="384">
        <v>115.42748347530143</v>
      </c>
      <c r="K46" s="384">
        <v>18.067177166327802</v>
      </c>
      <c r="L46" s="384">
        <v>6.388794575525953</v>
      </c>
      <c r="M46" s="384">
        <v>2.1164642189950653E-4</v>
      </c>
      <c r="N46" s="384">
        <v>73.764498218283208</v>
      </c>
      <c r="O46" s="384">
        <v>157.09046873231966</v>
      </c>
      <c r="P46" s="384">
        <v>73.764498218283208</v>
      </c>
      <c r="Q46" s="384">
        <v>157.09046873231966</v>
      </c>
    </row>
    <row r="47" spans="3:17" x14ac:dyDescent="0.25">
      <c r="F47" s="397"/>
      <c r="G47" s="397"/>
      <c r="H47" s="397"/>
      <c r="N47"/>
    </row>
    <row r="48" spans="3:17" x14ac:dyDescent="0.25">
      <c r="F48" s="397"/>
      <c r="G48" s="397"/>
      <c r="H48" s="397"/>
      <c r="N48"/>
    </row>
    <row r="49" spans="6:15" x14ac:dyDescent="0.25">
      <c r="F49" s="397"/>
      <c r="G49" s="397"/>
      <c r="H49" s="397"/>
      <c r="N49"/>
    </row>
    <row r="50" spans="6:15" x14ac:dyDescent="0.25">
      <c r="F50" s="397"/>
      <c r="G50" s="397"/>
      <c r="H50" s="397"/>
      <c r="I50" t="s">
        <v>96</v>
      </c>
      <c r="N50"/>
    </row>
    <row r="51" spans="6:15" ht="15" thickBot="1" x14ac:dyDescent="0.3">
      <c r="F51" s="397"/>
      <c r="G51" s="397"/>
      <c r="H51" s="397"/>
      <c r="N51"/>
    </row>
    <row r="52" spans="6:15" x14ac:dyDescent="0.25">
      <c r="F52" s="398"/>
      <c r="G52" s="398"/>
      <c r="H52" s="398"/>
      <c r="I52" s="385" t="s">
        <v>78</v>
      </c>
      <c r="J52" s="385" t="s">
        <v>333</v>
      </c>
      <c r="K52" s="385" t="s">
        <v>81</v>
      </c>
      <c r="L52" s="385" t="s">
        <v>98</v>
      </c>
      <c r="N52"/>
    </row>
    <row r="53" spans="6:15" x14ac:dyDescent="0.25">
      <c r="F53" s="383"/>
      <c r="G53" s="383"/>
      <c r="H53" s="383"/>
      <c r="I53" s="383">
        <v>1</v>
      </c>
      <c r="J53" s="383">
        <v>0.34889836653955342</v>
      </c>
      <c r="K53" s="383">
        <v>0.10110163346044654</v>
      </c>
      <c r="L53" s="383">
        <v>1.7570972713083894</v>
      </c>
      <c r="N53"/>
    </row>
    <row r="54" spans="6:15" x14ac:dyDescent="0.25">
      <c r="F54" s="383"/>
      <c r="G54" s="383"/>
      <c r="H54" s="383"/>
      <c r="I54" s="383">
        <v>2</v>
      </c>
      <c r="J54" s="383">
        <v>0.21457984382872769</v>
      </c>
      <c r="K54" s="383">
        <v>-6.4579843828727695E-2</v>
      </c>
      <c r="L54" s="383">
        <v>-1.1223663109001383</v>
      </c>
      <c r="N54"/>
    </row>
    <row r="55" spans="6:15" x14ac:dyDescent="0.25">
      <c r="F55" s="383"/>
      <c r="G55" s="383"/>
      <c r="H55" s="383"/>
      <c r="I55" s="383">
        <v>3</v>
      </c>
      <c r="J55" s="383">
        <v>0.14790812558627003</v>
      </c>
      <c r="K55" s="383">
        <v>-8.69944200025137E-2</v>
      </c>
      <c r="L55" s="383">
        <v>-1.5119207551208804</v>
      </c>
      <c r="N55"/>
    </row>
    <row r="56" spans="6:15" x14ac:dyDescent="0.25">
      <c r="F56" s="397"/>
      <c r="G56" s="397"/>
      <c r="H56" s="397"/>
      <c r="I56" s="383">
        <v>4</v>
      </c>
      <c r="J56" s="383">
        <v>6.7382241080039776E-2</v>
      </c>
      <c r="K56" s="383">
        <v>-5.5703408963251454E-2</v>
      </c>
      <c r="L56" s="383">
        <v>-0.968098185378934</v>
      </c>
      <c r="N56"/>
    </row>
    <row r="57" spans="6:15" x14ac:dyDescent="0.25">
      <c r="F57" s="397"/>
      <c r="G57" s="397"/>
      <c r="H57" s="397"/>
      <c r="I57" s="383">
        <v>5</v>
      </c>
      <c r="J57" s="383">
        <v>2.8164332074049489E-2</v>
      </c>
      <c r="K57" s="383">
        <v>-2.0880568796356015E-2</v>
      </c>
      <c r="L57" s="383">
        <v>-0.36289414126823155</v>
      </c>
      <c r="N57"/>
    </row>
    <row r="58" spans="6:15" x14ac:dyDescent="0.25">
      <c r="F58" s="397"/>
      <c r="G58" s="397"/>
      <c r="H58" s="397"/>
      <c r="I58" s="383">
        <v>6</v>
      </c>
      <c r="J58" s="383">
        <v>-1.0574344128471275E-3</v>
      </c>
      <c r="K58" s="383">
        <v>4.0599364979180194E-3</v>
      </c>
      <c r="L58" s="383">
        <v>7.0559723893758572E-2</v>
      </c>
      <c r="N58"/>
    </row>
    <row r="59" spans="6:15" x14ac:dyDescent="0.25">
      <c r="F59" s="397"/>
      <c r="G59" s="397"/>
      <c r="H59" s="397"/>
      <c r="I59" s="383">
        <v>7</v>
      </c>
      <c r="J59" s="383">
        <v>-1.2722356581229999E-2</v>
      </c>
      <c r="K59" s="383">
        <v>1.4533130687160284E-2</v>
      </c>
      <c r="L59" s="383">
        <v>0.25257875070799835</v>
      </c>
      <c r="N59"/>
    </row>
    <row r="60" spans="6:15" x14ac:dyDescent="0.25">
      <c r="F60" s="397"/>
      <c r="G60" s="397"/>
      <c r="H60" s="397"/>
      <c r="I60" s="383">
        <v>8</v>
      </c>
      <c r="J60" s="383">
        <v>-2.6120121602603769E-2</v>
      </c>
      <c r="K60" s="383">
        <v>2.6945431093662917E-2</v>
      </c>
      <c r="L60" s="383">
        <v>0.46829850150172075</v>
      </c>
      <c r="N60"/>
    </row>
    <row r="61" spans="6:15" x14ac:dyDescent="0.25">
      <c r="F61" s="397"/>
      <c r="G61" s="397"/>
      <c r="H61" s="397"/>
      <c r="I61" s="383">
        <v>9</v>
      </c>
      <c r="J61" s="383">
        <v>-3.7088441151177744E-2</v>
      </c>
      <c r="K61" s="383">
        <v>3.7496326943155987E-2</v>
      </c>
      <c r="L61" s="383">
        <v>0.65166794542130069</v>
      </c>
      <c r="N61"/>
    </row>
    <row r="62" spans="6:15" ht="15" thickBot="1" x14ac:dyDescent="0.3">
      <c r="F62" s="397"/>
      <c r="G62" s="397"/>
      <c r="H62" s="397"/>
      <c r="I62" s="384">
        <v>10</v>
      </c>
      <c r="J62" s="384">
        <v>-4.3712121471676087E-2</v>
      </c>
      <c r="K62" s="384">
        <v>4.4021782908505155E-2</v>
      </c>
      <c r="L62" s="384">
        <v>0.7650771998350171</v>
      </c>
      <c r="N62"/>
    </row>
    <row r="63" spans="6:15" x14ac:dyDescent="0.25">
      <c r="F63" s="397"/>
      <c r="G63" s="397"/>
      <c r="H63" s="397"/>
      <c r="I63" s="397"/>
      <c r="J63" s="397"/>
      <c r="K63" s="397"/>
      <c r="L63" s="397"/>
      <c r="M63" s="397"/>
      <c r="N63" s="399"/>
      <c r="O63" s="397"/>
    </row>
    <row r="64" spans="6:15" x14ac:dyDescent="0.25">
      <c r="F64" s="397"/>
      <c r="G64" s="397"/>
      <c r="H64" s="397"/>
      <c r="I64" s="397"/>
      <c r="J64" s="397"/>
      <c r="K64" s="397"/>
      <c r="L64" s="397"/>
      <c r="M64" s="397"/>
      <c r="N64" s="399"/>
      <c r="O64" s="397"/>
    </row>
    <row r="65" spans="6:15" x14ac:dyDescent="0.25">
      <c r="F65" s="397"/>
      <c r="G65" s="397"/>
      <c r="H65" s="397"/>
      <c r="I65" s="397"/>
      <c r="J65" s="397"/>
      <c r="K65" s="397"/>
      <c r="L65" s="397"/>
      <c r="M65" s="397"/>
      <c r="N65" s="399"/>
      <c r="O65" s="397"/>
    </row>
    <row r="66" spans="6:15" x14ac:dyDescent="0.25">
      <c r="F66" s="397"/>
      <c r="G66" s="397"/>
      <c r="H66" s="397"/>
      <c r="I66" s="397"/>
      <c r="J66" s="397"/>
      <c r="K66" s="397"/>
      <c r="L66" s="397"/>
      <c r="M66" s="397"/>
      <c r="N66" s="399"/>
      <c r="O66" s="397"/>
    </row>
    <row r="67" spans="6:15" x14ac:dyDescent="0.25">
      <c r="F67" s="397"/>
      <c r="G67" s="397"/>
      <c r="H67" s="397"/>
      <c r="I67" s="397"/>
      <c r="J67" s="397"/>
      <c r="K67" s="397"/>
      <c r="L67" s="397"/>
      <c r="M67" s="397"/>
      <c r="N67" s="399"/>
      <c r="O67" s="397"/>
    </row>
    <row r="68" spans="6:15" x14ac:dyDescent="0.25">
      <c r="F68" s="397"/>
      <c r="G68" s="397"/>
      <c r="H68" s="397"/>
      <c r="I68" s="397"/>
      <c r="J68" s="397"/>
      <c r="K68" s="397"/>
      <c r="L68" s="397"/>
      <c r="M68" s="397"/>
      <c r="N68" s="399"/>
      <c r="O68" s="397"/>
    </row>
    <row r="69" spans="6:15" x14ac:dyDescent="0.25">
      <c r="F69" s="397"/>
      <c r="G69" s="397"/>
      <c r="H69" s="397"/>
      <c r="I69" s="397"/>
      <c r="J69" s="397"/>
      <c r="K69" s="397"/>
      <c r="L69" s="397"/>
      <c r="M69" s="397"/>
      <c r="N69" s="399"/>
      <c r="O69" s="397"/>
    </row>
    <row r="70" spans="6:15" x14ac:dyDescent="0.25">
      <c r="F70" s="397"/>
      <c r="G70" s="397"/>
      <c r="H70" s="397"/>
      <c r="I70" s="397"/>
      <c r="J70" s="397"/>
      <c r="K70" s="397"/>
      <c r="L70" s="397"/>
      <c r="M70" s="397"/>
      <c r="N70" s="399"/>
      <c r="O70" s="397"/>
    </row>
    <row r="71" spans="6:15" x14ac:dyDescent="0.25">
      <c r="F71" s="397"/>
      <c r="G71" s="397"/>
      <c r="H71" s="397"/>
      <c r="I71" s="397"/>
      <c r="J71" s="397"/>
      <c r="K71" s="397"/>
      <c r="L71" s="397"/>
      <c r="M71" s="397"/>
      <c r="N71" s="399"/>
      <c r="O71" s="397"/>
    </row>
    <row r="72" spans="6:15" x14ac:dyDescent="0.25">
      <c r="F72" s="397"/>
      <c r="G72" s="397"/>
      <c r="H72" s="397"/>
      <c r="I72" s="397"/>
      <c r="J72" s="397"/>
      <c r="K72" s="397"/>
      <c r="L72" s="397"/>
      <c r="M72" s="397"/>
      <c r="N72" s="399"/>
      <c r="O72" s="397"/>
    </row>
    <row r="73" spans="6:15" x14ac:dyDescent="0.25">
      <c r="F73" s="397"/>
      <c r="G73" s="397"/>
      <c r="H73" s="397"/>
      <c r="I73" s="397"/>
      <c r="J73" s="397"/>
      <c r="K73" s="397"/>
      <c r="L73" s="397"/>
      <c r="M73" s="397"/>
      <c r="N73" s="399"/>
      <c r="O73" s="397"/>
    </row>
    <row r="74" spans="6:15" x14ac:dyDescent="0.25">
      <c r="F74" s="397"/>
      <c r="G74" s="397"/>
      <c r="H74" s="397"/>
      <c r="I74" s="397"/>
      <c r="J74" s="397"/>
      <c r="K74" s="397"/>
      <c r="L74" s="397"/>
      <c r="M74" s="397"/>
      <c r="N74" s="399"/>
      <c r="O74" s="397"/>
    </row>
    <row r="75" spans="6:15" x14ac:dyDescent="0.25">
      <c r="F75" s="397"/>
      <c r="G75" s="397"/>
      <c r="H75" s="397"/>
      <c r="I75" s="397"/>
      <c r="J75" s="397"/>
      <c r="K75" s="397"/>
      <c r="L75" s="397"/>
      <c r="M75" s="397"/>
      <c r="N75" s="399"/>
      <c r="O75" s="397"/>
    </row>
    <row r="76" spans="6:15" x14ac:dyDescent="0.25">
      <c r="F76" s="397"/>
      <c r="G76" s="397"/>
      <c r="H76" s="397"/>
      <c r="I76" s="397"/>
      <c r="J76" s="397"/>
      <c r="K76" s="397"/>
      <c r="L76" s="397"/>
      <c r="M76" s="397"/>
      <c r="N76" s="399"/>
      <c r="O76" s="397"/>
    </row>
    <row r="77" spans="6:15" x14ac:dyDescent="0.25">
      <c r="F77" s="397"/>
      <c r="G77" s="397"/>
      <c r="H77" s="397"/>
      <c r="I77" s="397"/>
      <c r="J77" s="397"/>
      <c r="K77" s="397"/>
      <c r="L77" s="397"/>
      <c r="M77" s="397"/>
      <c r="N77" s="399"/>
      <c r="O77" s="397"/>
    </row>
    <row r="78" spans="6:15" x14ac:dyDescent="0.25">
      <c r="F78" s="397"/>
      <c r="G78" s="397"/>
      <c r="H78" s="397"/>
      <c r="I78" s="397"/>
      <c r="J78" s="397"/>
      <c r="K78" s="397"/>
      <c r="L78" s="397"/>
      <c r="M78" s="397"/>
      <c r="N78" s="399"/>
      <c r="O78" s="397"/>
    </row>
    <row r="79" spans="6:15" x14ac:dyDescent="0.25">
      <c r="F79" s="397"/>
      <c r="G79" s="397"/>
      <c r="H79" s="397"/>
      <c r="I79" s="397"/>
      <c r="J79" s="397"/>
      <c r="K79" s="397"/>
      <c r="L79" s="397"/>
      <c r="M79" s="397"/>
      <c r="N79" s="399"/>
      <c r="O79" s="397"/>
    </row>
  </sheetData>
  <sortState xmlns:xlrd2="http://schemas.microsoft.com/office/spreadsheetml/2017/richdata2" ref="L53:L55">
    <sortCondition ref="L53"/>
  </sortState>
  <mergeCells count="17">
    <mergeCell ref="B5:C5"/>
    <mergeCell ref="D5:E5"/>
    <mergeCell ref="M9:O9"/>
    <mergeCell ref="M11:P11"/>
    <mergeCell ref="G6:K8"/>
    <mergeCell ref="O6:P6"/>
    <mergeCell ref="B7:C7"/>
    <mergeCell ref="D7:E7"/>
    <mergeCell ref="O7:P7"/>
    <mergeCell ref="O8:P8"/>
    <mergeCell ref="B6:C6"/>
    <mergeCell ref="D6:E6"/>
    <mergeCell ref="AF1:AG1"/>
    <mergeCell ref="A1:S1"/>
    <mergeCell ref="A2:S2"/>
    <mergeCell ref="A3:S3"/>
    <mergeCell ref="B4:E4"/>
  </mergeCells>
  <phoneticPr fontId="1" type="noConversion"/>
  <pageMargins left="0.7" right="0.7" top="0.75" bottom="0.75" header="0.3" footer="0.3"/>
  <pageSetup paperSize="9"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9699" r:id="rId4" name="Button 3">
              <controlPr defaultSize="0" print="0" autoFill="0" autoPict="0" macro="[0]!双曲线回04256">
                <anchor moveWithCells="1" sizeWithCells="1">
                  <from>
                    <xdr:col>5</xdr:col>
                    <xdr:colOff>266700</xdr:colOff>
                    <xdr:row>22</xdr:row>
                    <xdr:rowOff>68580</xdr:rowOff>
                  </from>
                  <to>
                    <xdr:col>6</xdr:col>
                    <xdr:colOff>815340</xdr:colOff>
                    <xdr:row>24</xdr:row>
                    <xdr:rowOff>106680</xdr:rowOff>
                  </to>
                </anchor>
              </controlPr>
            </control>
          </mc:Choice>
        </mc:AlternateContent>
        <mc:AlternateContent xmlns:mc="http://schemas.openxmlformats.org/markup-compatibility/2006">
          <mc:Choice Requires="x14">
            <control shapeId="29700" r:id="rId5" name="Group Box 4">
              <controlPr defaultSize="0" autoFill="0" autoPict="0">
                <anchor moveWithCells="1">
                  <from>
                    <xdr:col>0</xdr:col>
                    <xdr:colOff>403860</xdr:colOff>
                    <xdr:row>4</xdr:row>
                    <xdr:rowOff>15240</xdr:rowOff>
                  </from>
                  <to>
                    <xdr:col>5</xdr:col>
                    <xdr:colOff>152400</xdr:colOff>
                    <xdr:row>19</xdr:row>
                    <xdr:rowOff>38100</xdr:rowOff>
                  </to>
                </anchor>
              </controlPr>
            </control>
          </mc:Choice>
        </mc:AlternateContent>
        <mc:AlternateContent xmlns:mc="http://schemas.openxmlformats.org/markup-compatibility/2006">
          <mc:Choice Requires="x14">
            <control shapeId="29701" r:id="rId6" name="Group Box 5">
              <controlPr defaultSize="0" autoFill="0" autoPict="0">
                <anchor moveWithCells="1">
                  <from>
                    <xdr:col>5</xdr:col>
                    <xdr:colOff>335280</xdr:colOff>
                    <xdr:row>4</xdr:row>
                    <xdr:rowOff>38100</xdr:rowOff>
                  </from>
                  <to>
                    <xdr:col>11</xdr:col>
                    <xdr:colOff>548640</xdr:colOff>
                    <xdr:row>21</xdr:row>
                    <xdr:rowOff>190500</xdr:rowOff>
                  </to>
                </anchor>
              </controlPr>
            </control>
          </mc:Choice>
        </mc:AlternateContent>
        <mc:AlternateContent xmlns:mc="http://schemas.openxmlformats.org/markup-compatibility/2006">
          <mc:Choice Requires="x14">
            <control shapeId="29702" r:id="rId7" name="Group Box 6">
              <controlPr defaultSize="0" autoFill="0" autoPict="0">
                <anchor moveWithCells="1">
                  <from>
                    <xdr:col>11</xdr:col>
                    <xdr:colOff>624840</xdr:colOff>
                    <xdr:row>4</xdr:row>
                    <xdr:rowOff>53340</xdr:rowOff>
                  </from>
                  <to>
                    <xdr:col>17</xdr:col>
                    <xdr:colOff>15240</xdr:colOff>
                    <xdr:row>21</xdr:row>
                    <xdr:rowOff>114300</xdr:rowOff>
                  </to>
                </anchor>
              </controlPr>
            </control>
          </mc:Choice>
        </mc:AlternateContent>
        <mc:AlternateContent xmlns:mc="http://schemas.openxmlformats.org/markup-compatibility/2006">
          <mc:Choice Requires="x14">
            <control shapeId="29703" r:id="rId8" name="Button 7">
              <controlPr defaultSize="0" print="0" autoFill="0" autoPict="0" macro="[0]!控制按钮8_click">
                <anchor moveWithCells="1" sizeWithCells="1">
                  <from>
                    <xdr:col>8</xdr:col>
                    <xdr:colOff>76200</xdr:colOff>
                    <xdr:row>22</xdr:row>
                    <xdr:rowOff>76200</xdr:rowOff>
                  </from>
                  <to>
                    <xdr:col>9</xdr:col>
                    <xdr:colOff>571500</xdr:colOff>
                    <xdr:row>24</xdr:row>
                    <xdr:rowOff>144780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X55"/>
  <sheetViews>
    <sheetView zoomScale="115" zoomScaleNormal="115" workbookViewId="0">
      <selection activeCell="F12" sqref="F12"/>
    </sheetView>
  </sheetViews>
  <sheetFormatPr defaultRowHeight="14.4" x14ac:dyDescent="0.25"/>
  <cols>
    <col min="3" max="3" width="14.33203125" customWidth="1"/>
    <col min="4" max="4" width="11.109375" bestFit="1" customWidth="1"/>
    <col min="6" max="12" width="10.77734375" customWidth="1"/>
    <col min="13" max="13" width="11.21875" customWidth="1"/>
    <col min="14" max="14" width="16.109375" customWidth="1"/>
    <col min="15" max="18" width="10.77734375" customWidth="1"/>
  </cols>
  <sheetData>
    <row r="1" spans="1:50" s="2" customFormat="1" ht="39.75" customHeight="1" x14ac:dyDescent="0.25">
      <c r="A1" s="433" t="s">
        <v>109</v>
      </c>
      <c r="B1" s="433"/>
      <c r="C1" s="433"/>
      <c r="D1" s="433"/>
      <c r="E1" s="433"/>
      <c r="F1" s="433"/>
      <c r="G1" s="433"/>
      <c r="H1" s="433"/>
      <c r="I1" s="433"/>
      <c r="J1" s="433"/>
      <c r="K1" s="433"/>
      <c r="L1" s="433"/>
      <c r="M1" s="433"/>
      <c r="N1" s="433"/>
      <c r="O1" s="433"/>
      <c r="P1" s="433"/>
      <c r="Q1" s="433"/>
      <c r="R1" s="433"/>
      <c r="S1" s="433"/>
      <c r="T1" s="44"/>
      <c r="U1" s="44"/>
      <c r="V1" s="44"/>
      <c r="W1" s="44"/>
      <c r="X1" s="44"/>
      <c r="Y1" s="9"/>
      <c r="Z1" s="9"/>
      <c r="AA1" s="9"/>
      <c r="AB1" s="9"/>
      <c r="AC1" s="9"/>
      <c r="AD1" s="9"/>
      <c r="AE1" s="9"/>
      <c r="AF1" s="9"/>
      <c r="AG1" s="9"/>
      <c r="AH1" s="9"/>
      <c r="AI1" s="9"/>
      <c r="AJ1" s="9"/>
      <c r="AK1" s="9"/>
      <c r="AL1" s="9"/>
      <c r="AM1" s="9"/>
      <c r="AN1" s="9"/>
      <c r="AO1" s="9"/>
      <c r="AP1" s="9"/>
      <c r="AQ1" s="9"/>
      <c r="AR1" s="9"/>
      <c r="AS1" s="9"/>
      <c r="AT1" s="9"/>
      <c r="AU1" s="9"/>
      <c r="AV1" s="9"/>
      <c r="AW1" s="9"/>
      <c r="AX1" s="9"/>
    </row>
    <row r="2" spans="1:50" s="3" customFormat="1" ht="22.5" customHeight="1" x14ac:dyDescent="0.25">
      <c r="A2" s="434" t="s">
        <v>64</v>
      </c>
      <c r="B2" s="434"/>
      <c r="C2" s="434"/>
      <c r="D2" s="434"/>
      <c r="E2" s="434"/>
      <c r="F2" s="434"/>
      <c r="G2" s="434"/>
      <c r="H2" s="434"/>
      <c r="I2" s="434"/>
      <c r="J2" s="434"/>
      <c r="K2" s="434"/>
      <c r="L2" s="434"/>
      <c r="M2" s="434"/>
      <c r="N2" s="434"/>
      <c r="O2" s="434"/>
      <c r="P2" s="434"/>
      <c r="Q2" s="434"/>
      <c r="R2" s="434"/>
      <c r="S2" s="434"/>
      <c r="T2" s="45"/>
      <c r="U2" s="45"/>
      <c r="V2" s="45"/>
      <c r="W2" s="45"/>
      <c r="X2" s="45"/>
      <c r="Y2" s="10"/>
      <c r="Z2" s="10"/>
      <c r="AA2" s="10"/>
      <c r="AB2" s="10"/>
      <c r="AC2" s="10"/>
      <c r="AD2" s="10"/>
      <c r="AE2" s="10"/>
      <c r="AF2" s="10"/>
      <c r="AG2" s="10"/>
      <c r="AH2" s="10"/>
      <c r="AI2" s="10"/>
      <c r="AJ2" s="10"/>
      <c r="AK2" s="10"/>
      <c r="AL2" s="10"/>
      <c r="AM2" s="10"/>
      <c r="AN2" s="10"/>
      <c r="AO2" s="10"/>
      <c r="AP2" s="10"/>
      <c r="AQ2" s="10"/>
      <c r="AR2" s="10"/>
      <c r="AS2" s="10"/>
      <c r="AT2" s="10"/>
      <c r="AU2" s="10"/>
      <c r="AV2" s="10"/>
      <c r="AW2" s="10"/>
      <c r="AX2" s="10"/>
    </row>
    <row r="3" spans="1:50" s="2" customFormat="1" ht="33" customHeight="1" x14ac:dyDescent="0.25">
      <c r="A3" s="435" t="s">
        <v>0</v>
      </c>
      <c r="B3" s="435"/>
      <c r="C3" s="435"/>
      <c r="D3" s="435"/>
      <c r="E3" s="435"/>
      <c r="F3" s="435"/>
      <c r="G3" s="435"/>
      <c r="H3" s="435"/>
      <c r="I3" s="435"/>
      <c r="J3" s="435"/>
      <c r="K3" s="435"/>
      <c r="L3" s="435"/>
      <c r="M3" s="435"/>
      <c r="N3" s="435"/>
      <c r="O3" s="435"/>
      <c r="P3" s="435"/>
      <c r="Q3" s="435"/>
      <c r="R3" s="435"/>
      <c r="S3" s="435"/>
      <c r="T3" s="46"/>
      <c r="U3" s="46"/>
      <c r="V3" s="46"/>
      <c r="W3" s="46"/>
      <c r="X3" s="46"/>
      <c r="Y3" s="9"/>
      <c r="Z3" s="9"/>
      <c r="AA3" s="9"/>
      <c r="AB3" s="9"/>
      <c r="AC3" s="9"/>
      <c r="AD3" s="9"/>
      <c r="AE3" s="9"/>
      <c r="AF3" s="9"/>
      <c r="AG3" s="9"/>
      <c r="AH3" s="9"/>
      <c r="AI3" s="9"/>
      <c r="AJ3" s="9"/>
      <c r="AK3" s="9"/>
      <c r="AL3" s="9"/>
      <c r="AM3" s="9"/>
      <c r="AN3" s="9"/>
      <c r="AO3" s="9"/>
      <c r="AP3" s="9"/>
      <c r="AQ3" s="9"/>
      <c r="AR3" s="9"/>
      <c r="AS3" s="9"/>
      <c r="AT3" s="9"/>
      <c r="AU3" s="9"/>
      <c r="AV3" s="9"/>
      <c r="AW3" s="9"/>
      <c r="AX3" s="9"/>
    </row>
    <row r="4" spans="1:50" x14ac:dyDescent="0.25">
      <c r="A4" s="5"/>
      <c r="B4" s="439"/>
      <c r="C4" s="439"/>
      <c r="D4" s="439"/>
      <c r="E4" s="439"/>
      <c r="F4" s="5"/>
      <c r="G4" s="14"/>
      <c r="H4" s="14"/>
      <c r="I4" s="14"/>
      <c r="J4" s="14"/>
      <c r="K4" s="14"/>
      <c r="L4" s="14"/>
      <c r="M4" s="14"/>
      <c r="N4" s="14"/>
      <c r="O4" s="14"/>
      <c r="P4" s="14"/>
      <c r="Q4" s="14"/>
      <c r="R4" s="14"/>
      <c r="S4" s="14"/>
      <c r="Z4" s="22"/>
      <c r="AA4" s="22"/>
    </row>
    <row r="5" spans="1:50" x14ac:dyDescent="0.25">
      <c r="A5" s="7"/>
      <c r="B5" s="440"/>
      <c r="C5" s="440"/>
      <c r="D5" s="440"/>
      <c r="E5" s="440"/>
      <c r="F5" s="7"/>
      <c r="G5" s="14"/>
      <c r="H5" s="14"/>
      <c r="I5" s="14"/>
      <c r="J5" s="14"/>
      <c r="K5" s="14"/>
      <c r="L5" s="14"/>
      <c r="M5" s="14"/>
      <c r="N5" s="14"/>
      <c r="O5" s="14"/>
      <c r="P5" s="14"/>
      <c r="Q5" s="14"/>
      <c r="R5" s="14"/>
      <c r="S5" s="14"/>
      <c r="Z5" s="23"/>
      <c r="AA5" s="23"/>
    </row>
    <row r="6" spans="1:50" ht="18.75" customHeight="1" x14ac:dyDescent="0.25">
      <c r="A6" s="5"/>
      <c r="B6" s="60" t="s">
        <v>1</v>
      </c>
      <c r="C6" s="62">
        <v>2.7</v>
      </c>
      <c r="D6" s="461" t="s">
        <v>66</v>
      </c>
      <c r="E6" s="461"/>
      <c r="F6" s="5"/>
      <c r="G6" s="441"/>
      <c r="H6" s="441"/>
      <c r="I6" s="441"/>
      <c r="J6" s="441"/>
      <c r="K6" s="441"/>
      <c r="L6" s="14"/>
      <c r="M6" s="54"/>
      <c r="N6" s="55"/>
      <c r="O6" s="462"/>
      <c r="P6" s="462"/>
      <c r="Q6" s="6"/>
      <c r="R6" s="14"/>
      <c r="S6" s="14"/>
      <c r="Z6" s="47"/>
      <c r="AA6" s="23"/>
    </row>
    <row r="7" spans="1:50" ht="18.75" customHeight="1" x14ac:dyDescent="0.25">
      <c r="A7" s="5"/>
      <c r="B7" s="60" t="s">
        <v>2</v>
      </c>
      <c r="C7" s="62">
        <v>1.1000000000000001</v>
      </c>
      <c r="D7" s="463" t="s">
        <v>67</v>
      </c>
      <c r="E7" s="463"/>
      <c r="F7" s="5"/>
      <c r="G7" s="441"/>
      <c r="H7" s="441"/>
      <c r="I7" s="441"/>
      <c r="J7" s="441"/>
      <c r="K7" s="441"/>
      <c r="L7" s="14"/>
      <c r="M7" s="54"/>
      <c r="N7" s="55"/>
      <c r="O7" s="462"/>
      <c r="P7" s="462"/>
      <c r="Q7" s="13"/>
      <c r="R7" s="14"/>
      <c r="S7" s="14"/>
      <c r="Z7" s="21"/>
      <c r="AA7" s="23"/>
    </row>
    <row r="8" spans="1:50" ht="16.8" x14ac:dyDescent="0.25">
      <c r="A8" s="5"/>
      <c r="B8" s="60" t="s">
        <v>3</v>
      </c>
      <c r="C8" s="63">
        <v>3.8000000000000002E-4</v>
      </c>
      <c r="D8" s="459" t="s">
        <v>67</v>
      </c>
      <c r="E8" s="459"/>
      <c r="F8" s="5"/>
      <c r="G8" s="441"/>
      <c r="H8" s="441"/>
      <c r="I8" s="441"/>
      <c r="J8" s="441"/>
      <c r="K8" s="441"/>
      <c r="L8" s="14"/>
      <c r="M8" s="54"/>
      <c r="N8" s="55"/>
      <c r="O8" s="462"/>
      <c r="P8" s="462"/>
      <c r="Q8" s="13"/>
      <c r="R8" s="14"/>
      <c r="S8" s="14"/>
      <c r="Z8" s="21"/>
      <c r="AA8" s="23"/>
    </row>
    <row r="9" spans="1:50" ht="16.8" x14ac:dyDescent="0.25">
      <c r="A9" s="5"/>
      <c r="B9" s="60" t="s">
        <v>4</v>
      </c>
      <c r="C9" s="62">
        <v>0</v>
      </c>
      <c r="D9" s="460" t="s">
        <v>67</v>
      </c>
      <c r="E9" s="460"/>
      <c r="F9" s="31"/>
      <c r="G9" s="31"/>
      <c r="H9" s="14"/>
      <c r="I9" s="14"/>
      <c r="J9" s="14"/>
      <c r="K9" s="14"/>
      <c r="L9" s="14"/>
      <c r="M9" s="468"/>
      <c r="N9" s="468"/>
      <c r="O9" s="468"/>
      <c r="P9" s="14"/>
      <c r="Q9" s="13"/>
      <c r="R9" s="14"/>
      <c r="S9" s="14"/>
      <c r="Z9" s="21"/>
      <c r="AA9" s="23"/>
    </row>
    <row r="10" spans="1:50" x14ac:dyDescent="0.25">
      <c r="A10" s="5"/>
      <c r="B10" s="49"/>
      <c r="C10" s="59"/>
      <c r="D10" s="50"/>
      <c r="E10" s="58"/>
      <c r="F10" s="5"/>
      <c r="G10" s="14"/>
      <c r="H10" s="14"/>
      <c r="I10" s="14"/>
      <c r="J10" s="14"/>
      <c r="K10" s="14"/>
      <c r="L10" s="14"/>
      <c r="M10" s="14"/>
      <c r="N10" s="14"/>
      <c r="O10" s="14"/>
      <c r="P10" s="14"/>
      <c r="Q10" s="15"/>
      <c r="R10" s="14"/>
      <c r="S10" s="14"/>
      <c r="Z10" s="21"/>
      <c r="AA10" s="23"/>
    </row>
    <row r="11" spans="1:50" ht="15.6" x14ac:dyDescent="0.25">
      <c r="A11" s="5"/>
      <c r="B11" s="469"/>
      <c r="C11" s="469"/>
      <c r="D11" s="469"/>
      <c r="E11" s="469"/>
      <c r="F11" s="5"/>
      <c r="G11" s="14"/>
      <c r="H11" s="14"/>
      <c r="I11" s="14"/>
      <c r="J11" s="14"/>
      <c r="K11" s="14"/>
      <c r="L11" s="14"/>
      <c r="M11" s="436"/>
      <c r="N11" s="437"/>
      <c r="O11" s="437"/>
      <c r="P11" s="437"/>
      <c r="Q11" s="16"/>
      <c r="R11" s="14"/>
      <c r="S11" s="14"/>
      <c r="Z11" s="21"/>
      <c r="AA11" s="23"/>
    </row>
    <row r="12" spans="1:50" x14ac:dyDescent="0.25">
      <c r="A12" s="5"/>
      <c r="B12" s="470"/>
      <c r="C12" s="470"/>
      <c r="D12" s="470"/>
      <c r="E12" s="470"/>
      <c r="F12" s="5"/>
      <c r="G12" s="14"/>
      <c r="H12" s="14"/>
      <c r="I12" s="14"/>
      <c r="J12" s="14"/>
      <c r="K12" s="14"/>
      <c r="L12" s="14"/>
      <c r="M12" s="14"/>
      <c r="N12" s="14"/>
      <c r="O12" s="14"/>
      <c r="P12" s="14"/>
      <c r="Q12" s="14"/>
      <c r="R12" s="14"/>
      <c r="S12" s="14"/>
      <c r="Z12" s="24"/>
      <c r="AA12" s="23"/>
    </row>
    <row r="13" spans="1:50" x14ac:dyDescent="0.25">
      <c r="A13" s="5"/>
      <c r="B13" s="49"/>
      <c r="C13" s="51"/>
      <c r="D13" s="50"/>
      <c r="E13" s="18"/>
      <c r="F13" s="5"/>
      <c r="G13" s="14"/>
      <c r="H13" s="14"/>
      <c r="I13" s="14"/>
      <c r="J13" s="14"/>
      <c r="K13" s="14"/>
      <c r="L13" s="14"/>
      <c r="M13" s="14"/>
      <c r="N13" s="14"/>
      <c r="O13" s="14"/>
      <c r="P13" s="14"/>
      <c r="Q13" s="14"/>
      <c r="R13" s="14"/>
      <c r="S13" s="14"/>
      <c r="Z13" s="23"/>
      <c r="AA13" s="23"/>
    </row>
    <row r="14" spans="1:50" x14ac:dyDescent="0.25">
      <c r="A14" s="5"/>
      <c r="B14" s="49"/>
      <c r="C14" s="14"/>
      <c r="D14" s="50"/>
      <c r="E14" s="18"/>
      <c r="F14" s="5"/>
      <c r="G14" s="14"/>
      <c r="H14" s="14"/>
      <c r="I14" s="14"/>
      <c r="J14" s="14"/>
      <c r="K14" s="14"/>
      <c r="L14" s="14"/>
      <c r="M14" s="14"/>
      <c r="N14" s="14"/>
      <c r="O14" s="14"/>
      <c r="P14" s="14"/>
      <c r="Q14" s="14"/>
      <c r="R14" s="14"/>
      <c r="S14" s="14"/>
      <c r="Z14" s="23"/>
      <c r="AA14" s="23"/>
    </row>
    <row r="15" spans="1:50" x14ac:dyDescent="0.25">
      <c r="A15" s="5"/>
      <c r="B15" s="49"/>
      <c r="C15" s="52"/>
      <c r="D15" s="50"/>
      <c r="E15" s="18"/>
      <c r="F15" s="5"/>
      <c r="G15" s="14"/>
      <c r="H15" s="14"/>
      <c r="I15" s="14"/>
      <c r="J15" s="14"/>
      <c r="K15" s="14"/>
      <c r="L15" s="14"/>
      <c r="M15" s="14"/>
      <c r="N15" s="14"/>
      <c r="O15" s="14"/>
      <c r="P15" s="14"/>
      <c r="Q15" s="14"/>
      <c r="R15" s="14"/>
      <c r="S15" s="14"/>
      <c r="Z15" s="23"/>
      <c r="AA15" s="23"/>
    </row>
    <row r="16" spans="1:50" x14ac:dyDescent="0.25">
      <c r="A16" s="5"/>
      <c r="B16" s="14"/>
      <c r="C16" s="14"/>
      <c r="D16" s="14"/>
      <c r="E16" s="14"/>
      <c r="F16" s="5"/>
      <c r="G16" s="14"/>
      <c r="H16" s="14"/>
      <c r="I16" s="14"/>
      <c r="J16" s="14"/>
      <c r="K16" s="14"/>
      <c r="L16" s="14"/>
      <c r="M16" s="14"/>
      <c r="N16" s="14"/>
      <c r="O16" s="14"/>
      <c r="P16" s="14"/>
      <c r="Q16" s="14"/>
      <c r="R16" s="14"/>
      <c r="S16" s="14"/>
    </row>
    <row r="17" spans="1:19" ht="16.8" x14ac:dyDescent="0.25">
      <c r="A17" s="5"/>
      <c r="B17" s="60" t="s">
        <v>1</v>
      </c>
      <c r="C17" s="62">
        <v>2.6</v>
      </c>
      <c r="D17" s="461" t="s">
        <v>66</v>
      </c>
      <c r="E17" s="461"/>
      <c r="F17" s="5"/>
      <c r="G17" s="14"/>
      <c r="H17" s="14"/>
      <c r="I17" s="14"/>
      <c r="J17" s="14"/>
      <c r="K17" s="14"/>
      <c r="L17" s="14"/>
      <c r="M17" s="14"/>
      <c r="N17" s="14"/>
      <c r="O17" s="14"/>
      <c r="P17" s="14"/>
      <c r="Q17" s="14"/>
      <c r="R17" s="14"/>
      <c r="S17" s="14"/>
    </row>
    <row r="18" spans="1:19" ht="16.8" x14ac:dyDescent="0.25">
      <c r="A18" s="5"/>
      <c r="B18" s="60" t="s">
        <v>2</v>
      </c>
      <c r="C18" s="62">
        <v>8</v>
      </c>
      <c r="D18" s="464" t="s">
        <v>67</v>
      </c>
      <c r="E18" s="465"/>
      <c r="F18" s="5"/>
      <c r="G18" s="14"/>
      <c r="H18" s="14"/>
      <c r="I18" s="14"/>
      <c r="J18" s="14"/>
      <c r="K18" s="14"/>
      <c r="L18" s="14"/>
      <c r="M18" s="14"/>
      <c r="N18" s="14"/>
      <c r="O18" s="17"/>
      <c r="P18" s="14"/>
      <c r="Q18" s="14"/>
      <c r="R18" s="14"/>
      <c r="S18" s="14"/>
    </row>
    <row r="19" spans="1:19" ht="16.8" x14ac:dyDescent="0.25">
      <c r="A19" s="5"/>
      <c r="B19" s="60" t="s">
        <v>3</v>
      </c>
      <c r="C19" s="63">
        <v>1.3</v>
      </c>
      <c r="D19" s="466" t="s">
        <v>67</v>
      </c>
      <c r="E19" s="467"/>
      <c r="F19" s="5"/>
      <c r="G19" s="14"/>
      <c r="H19" s="14"/>
      <c r="I19" s="14"/>
      <c r="J19" s="14"/>
      <c r="K19" s="14"/>
      <c r="L19" s="14"/>
      <c r="M19" s="14"/>
      <c r="N19" s="14"/>
      <c r="O19" s="14"/>
      <c r="P19" s="14"/>
      <c r="Q19" s="14"/>
      <c r="R19" s="14"/>
      <c r="S19" s="14"/>
    </row>
    <row r="20" spans="1:19" x14ac:dyDescent="0.25">
      <c r="A20" s="5"/>
      <c r="B20" s="49"/>
      <c r="C20" s="49"/>
      <c r="D20" s="49"/>
      <c r="E20" s="49"/>
      <c r="F20" s="5"/>
      <c r="G20" s="14"/>
      <c r="H20" s="14"/>
      <c r="I20" s="14"/>
      <c r="J20" s="14"/>
      <c r="K20" s="14"/>
      <c r="L20" s="14"/>
      <c r="M20" s="14"/>
      <c r="N20" s="14"/>
      <c r="O20" s="14"/>
      <c r="P20" s="14"/>
      <c r="Q20" s="14"/>
      <c r="R20" s="14"/>
      <c r="S20" s="14"/>
    </row>
    <row r="21" spans="1:19" x14ac:dyDescent="0.25">
      <c r="A21" s="5"/>
      <c r="B21" s="14"/>
      <c r="C21" s="14"/>
      <c r="D21" s="14"/>
      <c r="E21" s="14"/>
      <c r="F21" s="5"/>
      <c r="G21" s="14"/>
      <c r="H21" s="14"/>
      <c r="I21" s="14"/>
      <c r="J21" s="14"/>
      <c r="K21" s="14"/>
      <c r="L21" s="14"/>
      <c r="M21" s="14"/>
      <c r="N21" s="14"/>
      <c r="O21" s="14"/>
      <c r="P21" s="14"/>
      <c r="Q21" s="14"/>
      <c r="R21" s="14"/>
      <c r="S21" s="14"/>
    </row>
    <row r="22" spans="1:19" x14ac:dyDescent="0.25">
      <c r="A22" s="5"/>
      <c r="B22" s="14"/>
      <c r="C22" s="14"/>
      <c r="D22" s="14"/>
      <c r="E22" s="14"/>
      <c r="F22" s="5"/>
      <c r="G22" s="14"/>
      <c r="H22" s="14"/>
      <c r="I22" s="14"/>
      <c r="J22" s="14"/>
      <c r="K22" s="14"/>
      <c r="L22" s="14"/>
      <c r="M22" s="14"/>
      <c r="N22" s="14"/>
      <c r="O22" s="14"/>
      <c r="P22" s="14"/>
      <c r="Q22" s="14"/>
      <c r="R22" s="14"/>
      <c r="S22" s="14"/>
    </row>
    <row r="23" spans="1:19" x14ac:dyDescent="0.25">
      <c r="A23" s="5"/>
      <c r="B23" s="14"/>
      <c r="C23" s="14"/>
      <c r="D23" s="14"/>
      <c r="E23" s="14"/>
      <c r="F23" s="5"/>
      <c r="G23" s="18"/>
      <c r="H23" s="18"/>
      <c r="I23" s="18"/>
      <c r="J23" s="18"/>
      <c r="K23" s="14"/>
      <c r="L23" s="14"/>
      <c r="M23" s="14"/>
      <c r="N23" s="14"/>
      <c r="O23" s="14"/>
      <c r="P23" s="14"/>
      <c r="Q23" s="14"/>
      <c r="R23" s="14"/>
      <c r="S23" s="14"/>
    </row>
    <row r="24" spans="1:19" x14ac:dyDescent="0.25">
      <c r="A24" s="5"/>
      <c r="B24" s="19"/>
      <c r="C24" s="19"/>
      <c r="D24" s="19"/>
      <c r="E24" s="19"/>
      <c r="F24" s="5"/>
      <c r="G24" s="14"/>
      <c r="H24" s="14"/>
      <c r="I24" s="14"/>
      <c r="J24" s="14"/>
      <c r="K24" s="14"/>
      <c r="L24" s="14"/>
      <c r="M24" s="14"/>
      <c r="N24" s="14"/>
      <c r="O24" s="14"/>
      <c r="P24" s="14"/>
      <c r="Q24" s="14"/>
      <c r="R24" s="14"/>
      <c r="S24" s="14"/>
    </row>
    <row r="25" spans="1:19" x14ac:dyDescent="0.25">
      <c r="A25" s="14"/>
      <c r="B25" s="14" t="e">
        <f>tc(C54,H20,B22,B61,C61,B19)</f>
        <v>#VALUE!</v>
      </c>
      <c r="C25" s="14"/>
      <c r="D25" s="14"/>
      <c r="E25" s="48"/>
      <c r="F25" s="14"/>
      <c r="G25" s="14"/>
      <c r="H25" s="14"/>
      <c r="I25" s="14"/>
      <c r="J25" s="14"/>
      <c r="K25" s="14"/>
      <c r="L25" s="14"/>
      <c r="M25" s="14"/>
      <c r="N25" s="14"/>
      <c r="O25" s="14"/>
      <c r="P25" s="14"/>
      <c r="Q25" s="14"/>
      <c r="R25" s="14"/>
      <c r="S25" s="14"/>
    </row>
    <row r="26" spans="1:19" x14ac:dyDescent="0.25">
      <c r="A26" s="14"/>
      <c r="B26" s="14"/>
      <c r="C26" s="14"/>
      <c r="D26" s="14"/>
      <c r="E26" s="14"/>
      <c r="F26" s="14"/>
      <c r="G26" s="14"/>
      <c r="H26" s="14"/>
      <c r="I26" s="14"/>
      <c r="J26" s="14"/>
      <c r="K26" s="14"/>
      <c r="L26" s="14"/>
      <c r="M26" s="14"/>
      <c r="N26" s="14"/>
      <c r="O26" s="14"/>
      <c r="P26" s="14"/>
      <c r="Q26" s="14"/>
      <c r="R26" s="14"/>
      <c r="S26" s="14"/>
    </row>
    <row r="27" spans="1:19" x14ac:dyDescent="0.25">
      <c r="A27" s="14"/>
      <c r="B27" s="14"/>
      <c r="C27" s="14"/>
      <c r="D27" s="14"/>
      <c r="E27" s="14"/>
      <c r="F27" s="14"/>
      <c r="G27" s="14"/>
      <c r="H27" s="14"/>
      <c r="I27" s="14"/>
      <c r="J27" s="14"/>
      <c r="K27" s="14"/>
      <c r="L27" s="14"/>
      <c r="M27" s="14"/>
      <c r="N27" s="14"/>
      <c r="O27" s="14"/>
      <c r="P27" s="14"/>
      <c r="Q27" s="14"/>
      <c r="R27" s="14"/>
      <c r="S27" s="14"/>
    </row>
    <row r="28" spans="1:19" x14ac:dyDescent="0.25">
      <c r="A28" s="14"/>
      <c r="B28" s="14"/>
      <c r="C28" s="14"/>
      <c r="D28" s="14"/>
      <c r="E28" s="14"/>
      <c r="F28" s="14"/>
      <c r="G28" s="14"/>
      <c r="H28" s="14"/>
      <c r="I28" s="14"/>
      <c r="J28" s="14"/>
      <c r="K28" s="14"/>
      <c r="L28" s="14"/>
      <c r="M28" s="14"/>
      <c r="N28" s="14"/>
      <c r="O28" s="14"/>
      <c r="P28" s="14"/>
      <c r="Q28" s="14"/>
      <c r="R28" s="14"/>
      <c r="S28" s="14"/>
    </row>
    <row r="29" spans="1:19" x14ac:dyDescent="0.25">
      <c r="B29" s="61">
        <v>1</v>
      </c>
      <c r="C29">
        <f>B29/($C$7+$C$8*B29)</f>
        <v>0.90877696795652396</v>
      </c>
      <c r="D29" s="61">
        <f>1/$C$8</f>
        <v>2631.5789473684208</v>
      </c>
      <c r="E29">
        <f>B29/$C$7</f>
        <v>0.90909090909090906</v>
      </c>
      <c r="F29">
        <f>$C$18*B29^$C$19</f>
        <v>8</v>
      </c>
    </row>
    <row r="30" spans="1:19" x14ac:dyDescent="0.25">
      <c r="B30" s="53">
        <v>200</v>
      </c>
      <c r="C30">
        <f t="shared" ref="C30:C55" si="0">B30/($C$7+$C$8*B30)</f>
        <v>170.06802721088434</v>
      </c>
      <c r="D30" s="61">
        <f t="shared" ref="D30:D55" si="1">1/$C$8</f>
        <v>2631.5789473684208</v>
      </c>
      <c r="E30">
        <f t="shared" ref="E30:E55" si="2">B30/$C$7</f>
        <v>181.81818181818181</v>
      </c>
      <c r="F30">
        <f t="shared" ref="F30:F55" si="3">$C$18*B30^$C$19</f>
        <v>7842.0387030318398</v>
      </c>
    </row>
    <row r="31" spans="1:19" x14ac:dyDescent="0.25">
      <c r="B31" s="53">
        <v>400</v>
      </c>
      <c r="C31">
        <f t="shared" si="0"/>
        <v>319.4888178913738</v>
      </c>
      <c r="D31" s="61">
        <f t="shared" si="1"/>
        <v>2631.5789473684208</v>
      </c>
      <c r="E31">
        <f t="shared" si="2"/>
        <v>363.63636363636363</v>
      </c>
      <c r="F31">
        <f t="shared" si="3"/>
        <v>19309.364276944529</v>
      </c>
      <c r="G31" s="56"/>
    </row>
    <row r="32" spans="1:19" x14ac:dyDescent="0.25">
      <c r="B32" s="53">
        <v>600</v>
      </c>
      <c r="C32">
        <f t="shared" si="0"/>
        <v>451.80722891566262</v>
      </c>
      <c r="D32" s="61">
        <f t="shared" si="1"/>
        <v>2631.5789473684208</v>
      </c>
      <c r="E32">
        <f t="shared" si="2"/>
        <v>545.45454545454538</v>
      </c>
      <c r="F32">
        <f t="shared" si="3"/>
        <v>32710.457057681077</v>
      </c>
    </row>
    <row r="33" spans="2:12" x14ac:dyDescent="0.25">
      <c r="B33" s="53">
        <v>800</v>
      </c>
      <c r="C33">
        <f t="shared" si="0"/>
        <v>569.80056980056975</v>
      </c>
      <c r="D33" s="61">
        <f t="shared" si="1"/>
        <v>2631.5789473684208</v>
      </c>
      <c r="E33">
        <f t="shared" si="2"/>
        <v>727.27272727272725</v>
      </c>
      <c r="F33">
        <f t="shared" si="3"/>
        <v>47545.23190960427</v>
      </c>
    </row>
    <row r="34" spans="2:12" x14ac:dyDescent="0.25">
      <c r="B34" s="53">
        <v>1000</v>
      </c>
      <c r="C34">
        <f t="shared" si="0"/>
        <v>675.67567567567573</v>
      </c>
      <c r="D34" s="61">
        <f t="shared" si="1"/>
        <v>2631.5789473684208</v>
      </c>
      <c r="E34">
        <f t="shared" si="2"/>
        <v>909.09090909090901</v>
      </c>
      <c r="F34">
        <f t="shared" si="3"/>
        <v>63546.258777942523</v>
      </c>
    </row>
    <row r="35" spans="2:12" x14ac:dyDescent="0.25">
      <c r="B35" s="53">
        <v>1200</v>
      </c>
      <c r="C35">
        <f t="shared" si="0"/>
        <v>771.20822622107971</v>
      </c>
      <c r="D35" s="61">
        <f t="shared" si="1"/>
        <v>2631.5789473684208</v>
      </c>
      <c r="E35">
        <f t="shared" si="2"/>
        <v>1090.9090909090908</v>
      </c>
      <c r="F35">
        <f t="shared" si="3"/>
        <v>80542.592929045626</v>
      </c>
    </row>
    <row r="36" spans="2:12" x14ac:dyDescent="0.25">
      <c r="B36" s="53">
        <v>1400</v>
      </c>
      <c r="C36">
        <f t="shared" si="0"/>
        <v>857.84313725490188</v>
      </c>
      <c r="D36" s="61">
        <f t="shared" si="1"/>
        <v>2631.5789473684208</v>
      </c>
      <c r="E36">
        <f t="shared" si="2"/>
        <v>1272.7272727272725</v>
      </c>
      <c r="F36">
        <f t="shared" si="3"/>
        <v>98413.897907476538</v>
      </c>
    </row>
    <row r="37" spans="2:12" x14ac:dyDescent="0.25">
      <c r="B37" s="53">
        <v>1600</v>
      </c>
      <c r="C37">
        <f t="shared" si="0"/>
        <v>936.76814988290391</v>
      </c>
      <c r="D37" s="61">
        <f t="shared" si="1"/>
        <v>2631.5789473684208</v>
      </c>
      <c r="E37">
        <f t="shared" si="2"/>
        <v>1454.5454545454545</v>
      </c>
      <c r="F37">
        <f t="shared" si="3"/>
        <v>117070.09329339561</v>
      </c>
    </row>
    <row r="38" spans="2:12" x14ac:dyDescent="0.25">
      <c r="B38" s="53">
        <v>1800</v>
      </c>
      <c r="C38">
        <f t="shared" si="0"/>
        <v>1008.9686098654707</v>
      </c>
      <c r="D38" s="61">
        <f t="shared" si="1"/>
        <v>2631.5789473684208</v>
      </c>
      <c r="E38">
        <f t="shared" si="2"/>
        <v>1636.3636363636363</v>
      </c>
      <c r="F38">
        <f t="shared" si="3"/>
        <v>136440.79574725006</v>
      </c>
    </row>
    <row r="39" spans="2:12" x14ac:dyDescent="0.25">
      <c r="B39" s="53">
        <v>2000</v>
      </c>
      <c r="C39">
        <f t="shared" si="0"/>
        <v>1075.2688172043011</v>
      </c>
      <c r="D39" s="61">
        <f t="shared" si="1"/>
        <v>2631.5789473684208</v>
      </c>
      <c r="E39">
        <f t="shared" si="2"/>
        <v>1818.181818181818</v>
      </c>
      <c r="F39">
        <f t="shared" si="3"/>
        <v>156469.24296686845</v>
      </c>
      <c r="G39" s="57"/>
      <c r="H39" s="57"/>
      <c r="I39" s="57"/>
      <c r="J39" s="57"/>
      <c r="K39" s="57"/>
    </row>
    <row r="40" spans="2:12" x14ac:dyDescent="0.25">
      <c r="B40" s="53">
        <v>2200</v>
      </c>
      <c r="C40">
        <f t="shared" si="0"/>
        <v>1136.3636363636363</v>
      </c>
      <c r="D40" s="61">
        <f t="shared" si="1"/>
        <v>2631.5789473684208</v>
      </c>
      <c r="E40">
        <f t="shared" si="2"/>
        <v>1999.9999999999998</v>
      </c>
      <c r="F40">
        <f t="shared" si="3"/>
        <v>177108.52740368294</v>
      </c>
    </row>
    <row r="41" spans="2:12" x14ac:dyDescent="0.25">
      <c r="B41" s="53">
        <v>2400</v>
      </c>
      <c r="C41">
        <f t="shared" si="0"/>
        <v>1192.8429423459245</v>
      </c>
      <c r="D41" s="61">
        <f t="shared" si="1"/>
        <v>2631.5789473684208</v>
      </c>
      <c r="E41">
        <f t="shared" si="2"/>
        <v>2181.8181818181815</v>
      </c>
      <c r="F41">
        <f t="shared" si="3"/>
        <v>198319.12664181678</v>
      </c>
    </row>
    <row r="42" spans="2:12" x14ac:dyDescent="0.25">
      <c r="B42" s="53">
        <v>2600</v>
      </c>
      <c r="C42">
        <f t="shared" si="0"/>
        <v>1245.2107279693487</v>
      </c>
      <c r="D42" s="61">
        <f t="shared" si="1"/>
        <v>2631.5789473684208</v>
      </c>
      <c r="E42">
        <f t="shared" si="2"/>
        <v>2363.6363636363635</v>
      </c>
      <c r="F42">
        <f t="shared" si="3"/>
        <v>220067.21092723263</v>
      </c>
    </row>
    <row r="43" spans="2:12" x14ac:dyDescent="0.25">
      <c r="B43" s="53">
        <v>2800</v>
      </c>
      <c r="C43">
        <f t="shared" si="0"/>
        <v>1293.9001848428834</v>
      </c>
      <c r="D43" s="61">
        <f t="shared" si="1"/>
        <v>2631.5789473684208</v>
      </c>
      <c r="E43">
        <f t="shared" si="2"/>
        <v>2545.454545454545</v>
      </c>
      <c r="F43">
        <f t="shared" si="3"/>
        <v>242323.44120857364</v>
      </c>
    </row>
    <row r="44" spans="2:12" x14ac:dyDescent="0.25">
      <c r="B44" s="53">
        <v>3000</v>
      </c>
      <c r="C44">
        <f t="shared" si="0"/>
        <v>1339.2857142857142</v>
      </c>
      <c r="D44" s="61">
        <f t="shared" si="1"/>
        <v>2631.5789473684208</v>
      </c>
      <c r="E44">
        <f t="shared" si="2"/>
        <v>2727.272727272727</v>
      </c>
      <c r="F44">
        <f t="shared" si="3"/>
        <v>265062.09005683055</v>
      </c>
      <c r="G44" s="57"/>
      <c r="H44" s="57"/>
      <c r="I44" s="57"/>
      <c r="J44" s="57"/>
      <c r="K44" s="57"/>
      <c r="L44" s="57"/>
    </row>
    <row r="45" spans="2:12" x14ac:dyDescent="0.25">
      <c r="B45" s="53">
        <v>3200</v>
      </c>
      <c r="C45">
        <f t="shared" si="0"/>
        <v>1381.692573402418</v>
      </c>
      <c r="D45" s="61">
        <f t="shared" si="1"/>
        <v>2631.5789473684208</v>
      </c>
      <c r="E45">
        <f t="shared" si="2"/>
        <v>2909.090909090909</v>
      </c>
      <c r="F45">
        <f t="shared" si="3"/>
        <v>288260.38265586458</v>
      </c>
    </row>
    <row r="46" spans="2:12" x14ac:dyDescent="0.25">
      <c r="B46" s="53">
        <v>3400</v>
      </c>
      <c r="C46">
        <f t="shared" si="0"/>
        <v>1421.4046822742473</v>
      </c>
      <c r="D46" s="61">
        <f t="shared" si="1"/>
        <v>2631.5789473684208</v>
      </c>
      <c r="E46">
        <f t="shared" si="2"/>
        <v>3090.9090909090905</v>
      </c>
      <c r="F46">
        <f t="shared" si="3"/>
        <v>311897.99226544978</v>
      </c>
    </row>
    <row r="47" spans="2:12" x14ac:dyDescent="0.25">
      <c r="B47" s="53">
        <v>3600</v>
      </c>
      <c r="C47">
        <f t="shared" si="0"/>
        <v>1458.6709886547812</v>
      </c>
      <c r="D47" s="61">
        <f t="shared" si="1"/>
        <v>2631.5789473684208</v>
      </c>
      <c r="E47">
        <f t="shared" si="2"/>
        <v>3272.7272727272725</v>
      </c>
      <c r="F47">
        <f t="shared" si="3"/>
        <v>335956.64687312313</v>
      </c>
    </row>
    <row r="48" spans="2:12" x14ac:dyDescent="0.25">
      <c r="B48" s="53">
        <v>3800</v>
      </c>
      <c r="C48">
        <f t="shared" si="0"/>
        <v>1493.7106918238992</v>
      </c>
      <c r="D48" s="61">
        <f t="shared" si="1"/>
        <v>2631.5789473684208</v>
      </c>
      <c r="E48">
        <f t="shared" si="2"/>
        <v>3454.545454545454</v>
      </c>
      <c r="F48">
        <f t="shared" si="3"/>
        <v>360419.81764064363</v>
      </c>
    </row>
    <row r="49" spans="2:25" x14ac:dyDescent="0.25">
      <c r="B49" s="53">
        <v>4000</v>
      </c>
      <c r="C49">
        <f t="shared" si="0"/>
        <v>1526.7175572519084</v>
      </c>
      <c r="D49" s="61">
        <f t="shared" si="1"/>
        <v>2631.5789473684208</v>
      </c>
      <c r="E49">
        <f t="shared" si="2"/>
        <v>3636.363636363636</v>
      </c>
      <c r="F49">
        <f t="shared" si="3"/>
        <v>385272.46867793723</v>
      </c>
    </row>
    <row r="50" spans="2:25" x14ac:dyDescent="0.25">
      <c r="B50" s="53">
        <v>4200</v>
      </c>
      <c r="C50">
        <f t="shared" si="0"/>
        <v>1557.8635014836793</v>
      </c>
      <c r="D50" s="61">
        <f t="shared" si="1"/>
        <v>2631.5789473684208</v>
      </c>
      <c r="E50">
        <f t="shared" si="2"/>
        <v>3818.181818181818</v>
      </c>
      <c r="F50">
        <f t="shared" si="3"/>
        <v>410500.85357739322</v>
      </c>
    </row>
    <row r="51" spans="2:25" x14ac:dyDescent="0.25">
      <c r="B51" s="53">
        <v>4400</v>
      </c>
      <c r="C51">
        <f t="shared" si="0"/>
        <v>1587.3015873015872</v>
      </c>
      <c r="D51" s="61">
        <f t="shared" si="1"/>
        <v>2631.5789473684208</v>
      </c>
      <c r="E51">
        <f t="shared" si="2"/>
        <v>3999.9999999999995</v>
      </c>
      <c r="F51">
        <f t="shared" si="3"/>
        <v>436092.34813757968</v>
      </c>
    </row>
    <row r="52" spans="2:25" x14ac:dyDescent="0.25">
      <c r="B52" s="53">
        <v>4600</v>
      </c>
      <c r="C52">
        <f t="shared" si="0"/>
        <v>1615.1685393258429</v>
      </c>
      <c r="D52" s="61">
        <f t="shared" si="1"/>
        <v>2631.5789473684208</v>
      </c>
      <c r="E52">
        <f t="shared" si="2"/>
        <v>4181.8181818181811</v>
      </c>
      <c r="F52">
        <f t="shared" si="3"/>
        <v>462035.31147176196</v>
      </c>
    </row>
    <row r="53" spans="2:25" x14ac:dyDescent="0.25">
      <c r="B53" s="53">
        <v>4800</v>
      </c>
      <c r="C53">
        <f t="shared" si="0"/>
        <v>1641.5868673050613</v>
      </c>
      <c r="D53" s="61">
        <f t="shared" si="1"/>
        <v>2631.5789473684208</v>
      </c>
      <c r="E53">
        <f t="shared" si="2"/>
        <v>4363.6363636363631</v>
      </c>
      <c r="F53">
        <f t="shared" si="3"/>
        <v>488318.96964903094</v>
      </c>
      <c r="G53" s="57"/>
      <c r="H53" s="57"/>
      <c r="I53" s="57"/>
    </row>
    <row r="54" spans="2:25" x14ac:dyDescent="0.25">
      <c r="B54" s="53">
        <v>5000</v>
      </c>
      <c r="C54">
        <f t="shared" si="0"/>
        <v>1666.6666666666667</v>
      </c>
      <c r="D54" s="61">
        <f t="shared" si="1"/>
        <v>2631.5789473684208</v>
      </c>
      <c r="E54">
        <f t="shared" si="2"/>
        <v>4545.454545454545</v>
      </c>
      <c r="F54">
        <f t="shared" si="3"/>
        <v>514933.31741808995</v>
      </c>
    </row>
    <row r="55" spans="2:25" s="14" customFormat="1" x14ac:dyDescent="0.25">
      <c r="B55" s="53">
        <v>5200</v>
      </c>
      <c r="C55">
        <f t="shared" si="0"/>
        <v>1690.5071521456434</v>
      </c>
      <c r="D55" s="61">
        <f t="shared" si="1"/>
        <v>2631.5789473684208</v>
      </c>
      <c r="E55">
        <f t="shared" si="2"/>
        <v>4727.272727272727</v>
      </c>
      <c r="F55">
        <f t="shared" si="3"/>
        <v>541869.03458691912</v>
      </c>
      <c r="G55"/>
      <c r="H55"/>
      <c r="I55"/>
      <c r="J55"/>
      <c r="K55"/>
      <c r="L55"/>
      <c r="T55"/>
      <c r="U55"/>
      <c r="V55"/>
      <c r="W55"/>
      <c r="X55"/>
      <c r="Y55"/>
    </row>
  </sheetData>
  <mergeCells count="21">
    <mergeCell ref="D17:E17"/>
    <mergeCell ref="D18:E18"/>
    <mergeCell ref="D19:E19"/>
    <mergeCell ref="M9:O9"/>
    <mergeCell ref="B11:E11"/>
    <mergeCell ref="M11:P11"/>
    <mergeCell ref="B12:E12"/>
    <mergeCell ref="D8:E8"/>
    <mergeCell ref="D9:E9"/>
    <mergeCell ref="D6:E6"/>
    <mergeCell ref="G6:K8"/>
    <mergeCell ref="O6:P6"/>
    <mergeCell ref="D7:E7"/>
    <mergeCell ref="O7:P7"/>
    <mergeCell ref="O8:P8"/>
    <mergeCell ref="A1:S1"/>
    <mergeCell ref="A2:S2"/>
    <mergeCell ref="A3:S3"/>
    <mergeCell ref="B4:E4"/>
    <mergeCell ref="B5:C5"/>
    <mergeCell ref="D5:E5"/>
  </mergeCells>
  <phoneticPr fontId="1"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6" r:id="rId3" name="Group Box 2">
              <controlPr defaultSize="0" autoFill="0" autoPict="0">
                <anchor moveWithCells="1">
                  <from>
                    <xdr:col>0</xdr:col>
                    <xdr:colOff>434340</xdr:colOff>
                    <xdr:row>3</xdr:row>
                    <xdr:rowOff>137160</xdr:rowOff>
                  </from>
                  <to>
                    <xdr:col>6</xdr:col>
                    <xdr:colOff>22860</xdr:colOff>
                    <xdr:row>13</xdr:row>
                    <xdr:rowOff>38100</xdr:rowOff>
                  </to>
                </anchor>
              </controlPr>
            </control>
          </mc:Choice>
        </mc:AlternateContent>
        <mc:AlternateContent xmlns:mc="http://schemas.openxmlformats.org/markup-compatibility/2006">
          <mc:Choice Requires="x14">
            <control shapeId="11267" r:id="rId4" name="Group Box 3">
              <controlPr defaultSize="0" autoFill="0" autoPict="0">
                <anchor moveWithCells="1">
                  <from>
                    <xdr:col>6</xdr:col>
                    <xdr:colOff>449580</xdr:colOff>
                    <xdr:row>3</xdr:row>
                    <xdr:rowOff>114300</xdr:rowOff>
                  </from>
                  <to>
                    <xdr:col>12</xdr:col>
                    <xdr:colOff>624840</xdr:colOff>
                    <xdr:row>25</xdr:row>
                    <xdr:rowOff>68580</xdr:rowOff>
                  </to>
                </anchor>
              </controlPr>
            </control>
          </mc:Choice>
        </mc:AlternateContent>
        <mc:AlternateContent xmlns:mc="http://schemas.openxmlformats.org/markup-compatibility/2006">
          <mc:Choice Requires="x14">
            <control shapeId="11269" r:id="rId5" name="Button 5">
              <controlPr defaultSize="0" print="0" autoFill="0" autoPict="0" macro="[0]!控制按钮33_click">
                <anchor moveWithCells="1" sizeWithCells="1">
                  <from>
                    <xdr:col>1</xdr:col>
                    <xdr:colOff>53340</xdr:colOff>
                    <xdr:row>10</xdr:row>
                    <xdr:rowOff>99060</xdr:rowOff>
                  </from>
                  <to>
                    <xdr:col>2</xdr:col>
                    <xdr:colOff>685800</xdr:colOff>
                    <xdr:row>12</xdr:row>
                    <xdr:rowOff>106680</xdr:rowOff>
                  </to>
                </anchor>
              </controlPr>
            </control>
          </mc:Choice>
        </mc:AlternateContent>
        <mc:AlternateContent xmlns:mc="http://schemas.openxmlformats.org/markup-compatibility/2006">
          <mc:Choice Requires="x14">
            <control shapeId="11271" r:id="rId6" name="Group Box 7">
              <controlPr defaultSize="0" autoFill="0" autoPict="0">
                <anchor moveWithCells="1">
                  <from>
                    <xdr:col>0</xdr:col>
                    <xdr:colOff>403860</xdr:colOff>
                    <xdr:row>14</xdr:row>
                    <xdr:rowOff>22860</xdr:rowOff>
                  </from>
                  <to>
                    <xdr:col>6</xdr:col>
                    <xdr:colOff>0</xdr:colOff>
                    <xdr:row>25</xdr:row>
                    <xdr:rowOff>53340</xdr:rowOff>
                  </to>
                </anchor>
              </controlPr>
            </control>
          </mc:Choice>
        </mc:AlternateContent>
        <mc:AlternateContent xmlns:mc="http://schemas.openxmlformats.org/markup-compatibility/2006">
          <mc:Choice Requires="x14">
            <control shapeId="11272" r:id="rId7" name="Group Box 8">
              <controlPr defaultSize="0" autoFill="0" autoPict="0">
                <anchor moveWithCells="1">
                  <from>
                    <xdr:col>12</xdr:col>
                    <xdr:colOff>861060</xdr:colOff>
                    <xdr:row>3</xdr:row>
                    <xdr:rowOff>137160</xdr:rowOff>
                  </from>
                  <to>
                    <xdr:col>18</xdr:col>
                    <xdr:colOff>510540</xdr:colOff>
                    <xdr:row>25</xdr:row>
                    <xdr:rowOff>91440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dimension ref="A1:AZ331"/>
  <sheetViews>
    <sheetView topLeftCell="A10" zoomScale="85" zoomScaleNormal="85" workbookViewId="0">
      <selection activeCell="R38" sqref="R38"/>
    </sheetView>
  </sheetViews>
  <sheetFormatPr defaultColWidth="10.44140625" defaultRowHeight="14.4" x14ac:dyDescent="0.25"/>
  <cols>
    <col min="1" max="16" width="10.44140625" style="43"/>
    <col min="17" max="18" width="10.44140625" style="8"/>
    <col min="19" max="27" width="10.44140625" style="30"/>
    <col min="28" max="51" width="10.44140625" style="8"/>
    <col min="52" max="16384" width="10.44140625" style="30"/>
  </cols>
  <sheetData>
    <row r="1" spans="1:51" s="27" customFormat="1" ht="36.6" x14ac:dyDescent="0.25">
      <c r="A1" s="472" t="s">
        <v>107</v>
      </c>
      <c r="B1" s="472"/>
      <c r="C1" s="472"/>
      <c r="D1" s="472"/>
      <c r="E1" s="472"/>
      <c r="F1" s="472"/>
      <c r="G1" s="472"/>
      <c r="H1" s="472"/>
      <c r="I1" s="472"/>
      <c r="J1" s="472"/>
      <c r="K1" s="472"/>
      <c r="L1" s="472"/>
      <c r="M1" s="472"/>
      <c r="N1" s="472"/>
      <c r="O1" s="472"/>
      <c r="P1" s="472"/>
      <c r="Q1" s="472"/>
      <c r="R1" s="472"/>
      <c r="S1" s="132"/>
      <c r="T1" s="132"/>
      <c r="U1" s="132"/>
      <c r="V1" s="132"/>
      <c r="W1" s="132"/>
      <c r="X1" s="132"/>
      <c r="Y1" s="132"/>
      <c r="Z1" s="26"/>
      <c r="AA1" s="26"/>
      <c r="AB1" s="26"/>
      <c r="AC1" s="26"/>
      <c r="AD1" s="26"/>
      <c r="AE1" s="26"/>
      <c r="AF1" s="26"/>
      <c r="AG1" s="26"/>
      <c r="AH1" s="26"/>
      <c r="AI1" s="26"/>
      <c r="AJ1" s="26"/>
      <c r="AK1" s="26"/>
      <c r="AL1" s="26"/>
      <c r="AM1" s="26"/>
      <c r="AN1" s="26"/>
      <c r="AO1" s="26"/>
      <c r="AP1" s="26"/>
      <c r="AQ1" s="26"/>
      <c r="AR1" s="26"/>
      <c r="AS1" s="26"/>
      <c r="AT1" s="26"/>
      <c r="AU1" s="26"/>
      <c r="AV1" s="26"/>
      <c r="AW1" s="26"/>
      <c r="AX1" s="26"/>
      <c r="AY1" s="26"/>
    </row>
    <row r="2" spans="1:51" s="29" customFormat="1" ht="20.399999999999999" x14ac:dyDescent="0.25">
      <c r="A2" s="473" t="s">
        <v>138</v>
      </c>
      <c r="B2" s="473"/>
      <c r="C2" s="473"/>
      <c r="D2" s="473"/>
      <c r="E2" s="473"/>
      <c r="F2" s="473"/>
      <c r="G2" s="473"/>
      <c r="H2" s="473"/>
      <c r="I2" s="473"/>
      <c r="J2" s="473"/>
      <c r="K2" s="473"/>
      <c r="L2" s="473"/>
      <c r="M2" s="473"/>
      <c r="N2" s="473"/>
      <c r="O2" s="473"/>
      <c r="P2" s="473"/>
      <c r="Q2" s="473"/>
      <c r="R2" s="473"/>
      <c r="S2" s="133"/>
      <c r="T2" s="133"/>
      <c r="U2" s="133"/>
      <c r="V2" s="133"/>
      <c r="W2" s="133"/>
      <c r="X2" s="133"/>
      <c r="Y2" s="133"/>
      <c r="Z2" s="28"/>
      <c r="AA2" s="28"/>
      <c r="AB2" s="28"/>
      <c r="AC2" s="28"/>
      <c r="AD2" s="28"/>
      <c r="AE2" s="28"/>
      <c r="AF2" s="28"/>
      <c r="AG2" s="28"/>
      <c r="AH2" s="28"/>
      <c r="AI2" s="28"/>
      <c r="AJ2" s="28"/>
      <c r="AK2" s="28"/>
      <c r="AL2" s="28"/>
      <c r="AM2" s="28"/>
      <c r="AN2" s="28"/>
      <c r="AO2" s="28"/>
      <c r="AP2" s="28"/>
      <c r="AQ2" s="28"/>
      <c r="AR2" s="28"/>
      <c r="AS2" s="28"/>
      <c r="AT2" s="28"/>
      <c r="AU2" s="28"/>
      <c r="AV2" s="28"/>
      <c r="AW2" s="28"/>
      <c r="AX2" s="28"/>
      <c r="AY2" s="28"/>
    </row>
    <row r="3" spans="1:51" s="27" customFormat="1" x14ac:dyDescent="0.25">
      <c r="A3" s="474" t="s">
        <v>139</v>
      </c>
      <c r="B3" s="474"/>
      <c r="C3" s="474"/>
      <c r="D3" s="474"/>
      <c r="E3" s="474"/>
      <c r="F3" s="474"/>
      <c r="G3" s="474"/>
      <c r="H3" s="474"/>
      <c r="I3" s="474"/>
      <c r="J3" s="474"/>
      <c r="K3" s="474"/>
      <c r="L3" s="474"/>
      <c r="M3" s="474"/>
      <c r="N3" s="474"/>
      <c r="O3" s="474"/>
      <c r="P3" s="474"/>
      <c r="Q3" s="474"/>
      <c r="R3" s="474"/>
      <c r="S3" s="134"/>
      <c r="T3" s="134"/>
      <c r="U3" s="134"/>
      <c r="V3" s="134"/>
      <c r="W3" s="134"/>
      <c r="X3" s="134"/>
      <c r="Y3" s="134"/>
      <c r="Z3" s="26"/>
      <c r="AA3" s="26"/>
      <c r="AB3" s="26"/>
      <c r="AC3" s="26"/>
      <c r="AD3" s="26"/>
      <c r="AE3" s="26"/>
      <c r="AF3" s="26"/>
      <c r="AG3" s="26"/>
      <c r="AH3" s="26"/>
      <c r="AI3" s="26"/>
      <c r="AJ3" s="26"/>
      <c r="AK3" s="26"/>
      <c r="AL3" s="26"/>
      <c r="AM3" s="26"/>
      <c r="AN3" s="26"/>
      <c r="AO3" s="26"/>
      <c r="AP3" s="26"/>
      <c r="AQ3" s="26"/>
      <c r="AR3" s="26"/>
      <c r="AS3" s="26"/>
      <c r="AT3" s="26"/>
      <c r="AU3" s="26"/>
      <c r="AV3" s="26"/>
      <c r="AW3" s="26"/>
      <c r="AX3" s="26"/>
      <c r="AY3" s="26"/>
    </row>
    <row r="4" spans="1:51" s="27" customFormat="1" x14ac:dyDescent="0.25">
      <c r="A4" s="241"/>
      <c r="B4" s="241"/>
      <c r="C4" s="241"/>
      <c r="D4" s="241"/>
      <c r="E4" s="241"/>
      <c r="F4" s="241"/>
      <c r="G4" s="241"/>
      <c r="H4" s="241"/>
      <c r="I4" s="241"/>
      <c r="J4" s="241"/>
      <c r="K4" s="241"/>
      <c r="L4" s="241"/>
      <c r="M4" s="241"/>
      <c r="N4" s="241"/>
      <c r="O4" s="241"/>
      <c r="P4" s="241"/>
      <c r="Q4" s="241"/>
      <c r="R4" s="241"/>
      <c r="S4" s="134"/>
      <c r="T4" s="134"/>
      <c r="U4" s="134"/>
      <c r="V4" s="134"/>
      <c r="W4" s="134"/>
      <c r="X4" s="134"/>
      <c r="Y4" s="134"/>
      <c r="Z4" s="26"/>
      <c r="AA4" s="26"/>
      <c r="AB4" s="26"/>
      <c r="AC4" s="26"/>
      <c r="AD4" s="26"/>
      <c r="AE4" s="26"/>
      <c r="AF4" s="26"/>
      <c r="AG4" s="26"/>
      <c r="AH4" s="26"/>
      <c r="AI4" s="26"/>
      <c r="AJ4" s="26"/>
      <c r="AK4" s="26"/>
      <c r="AL4" s="26"/>
      <c r="AM4" s="26"/>
      <c r="AN4" s="26"/>
      <c r="AO4" s="26"/>
      <c r="AP4" s="26"/>
      <c r="AQ4" s="26"/>
      <c r="AR4" s="26"/>
      <c r="AS4" s="26"/>
      <c r="AT4" s="26"/>
      <c r="AU4" s="26"/>
      <c r="AV4" s="26"/>
      <c r="AW4" s="26"/>
      <c r="AX4" s="26"/>
      <c r="AY4" s="26"/>
    </row>
    <row r="5" spans="1:51" x14ac:dyDescent="0.25">
      <c r="A5" s="475"/>
      <c r="B5" s="475"/>
      <c r="C5" s="475"/>
      <c r="D5" s="475"/>
      <c r="E5" s="475"/>
      <c r="F5" s="475"/>
      <c r="G5" s="30"/>
      <c r="H5" s="476"/>
      <c r="I5" s="476"/>
      <c r="J5" s="476"/>
      <c r="K5" s="476"/>
      <c r="L5" s="476"/>
      <c r="M5" s="30"/>
      <c r="N5" s="476"/>
      <c r="O5" s="476"/>
      <c r="P5" s="476"/>
      <c r="Q5" s="476"/>
      <c r="R5" s="135"/>
      <c r="S5" s="8"/>
      <c r="T5" s="8"/>
      <c r="U5" s="8"/>
      <c r="V5" s="8"/>
      <c r="W5" s="8"/>
      <c r="X5" s="8"/>
      <c r="Y5" s="8"/>
      <c r="Z5" s="8"/>
      <c r="AA5" s="8"/>
    </row>
    <row r="6" spans="1:51" x14ac:dyDescent="0.25">
      <c r="A6" s="136" t="s">
        <v>140</v>
      </c>
      <c r="B6" s="137">
        <v>740</v>
      </c>
      <c r="C6" s="471" t="s">
        <v>117</v>
      </c>
      <c r="D6" s="471"/>
      <c r="E6" s="471"/>
      <c r="F6" s="471"/>
      <c r="G6" s="138"/>
      <c r="H6" s="477"/>
      <c r="I6" s="477"/>
      <c r="J6" s="477"/>
      <c r="K6" s="477"/>
      <c r="L6" s="477"/>
      <c r="M6" s="138"/>
      <c r="N6" s="477"/>
      <c r="O6" s="477"/>
      <c r="P6" s="477"/>
      <c r="Q6" s="477"/>
      <c r="R6" s="139"/>
      <c r="S6" s="8"/>
      <c r="T6" s="8"/>
      <c r="U6" s="8"/>
      <c r="V6" s="8"/>
      <c r="W6" s="8"/>
      <c r="X6" s="8"/>
      <c r="Y6" s="8"/>
      <c r="Z6" s="8"/>
      <c r="AA6" s="8"/>
    </row>
    <row r="7" spans="1:51" ht="16.8" x14ac:dyDescent="0.25">
      <c r="A7" s="136" t="s">
        <v>141</v>
      </c>
      <c r="B7" s="137">
        <v>80</v>
      </c>
      <c r="C7" s="471" t="s">
        <v>142</v>
      </c>
      <c r="D7" s="471"/>
      <c r="E7" s="471"/>
      <c r="F7" s="471"/>
      <c r="G7" s="30"/>
      <c r="H7" s="30"/>
      <c r="I7" s="30"/>
      <c r="J7" s="30"/>
      <c r="K7" s="30"/>
      <c r="L7" s="30"/>
      <c r="M7" s="30"/>
      <c r="N7" s="30"/>
      <c r="O7" s="30"/>
      <c r="P7" s="30"/>
      <c r="Q7" s="30"/>
      <c r="R7" s="140"/>
      <c r="S7" s="8"/>
      <c r="T7" s="8"/>
      <c r="U7" s="8"/>
      <c r="V7" s="8"/>
      <c r="W7" s="8"/>
      <c r="X7" s="8"/>
      <c r="Y7" s="8"/>
      <c r="Z7" s="8"/>
      <c r="AA7" s="8"/>
    </row>
    <row r="8" spans="1:51" ht="16.8" x14ac:dyDescent="0.25">
      <c r="A8" s="136" t="s">
        <v>143</v>
      </c>
      <c r="B8" s="137">
        <v>700</v>
      </c>
      <c r="C8" s="471" t="s">
        <v>144</v>
      </c>
      <c r="D8" s="471"/>
      <c r="E8" s="471"/>
      <c r="F8" s="471"/>
      <c r="G8" s="30"/>
      <c r="H8" s="30"/>
      <c r="I8" s="483" t="s">
        <v>145</v>
      </c>
      <c r="J8" s="485" t="s">
        <v>146</v>
      </c>
      <c r="K8" s="487" t="s">
        <v>147</v>
      </c>
      <c r="L8" s="479" t="s">
        <v>148</v>
      </c>
      <c r="M8" s="480"/>
      <c r="N8" s="479" t="s">
        <v>149</v>
      </c>
      <c r="O8" s="480"/>
      <c r="P8" s="478"/>
      <c r="Q8" s="30"/>
      <c r="R8" s="30"/>
      <c r="S8" s="8"/>
      <c r="T8" s="8"/>
      <c r="U8" s="8"/>
      <c r="V8" s="8"/>
      <c r="W8" s="8"/>
      <c r="X8" s="8"/>
      <c r="Y8" s="8"/>
      <c r="Z8" s="8"/>
      <c r="AA8" s="8"/>
    </row>
    <row r="9" spans="1:51" x14ac:dyDescent="0.25">
      <c r="A9" s="141"/>
      <c r="B9" s="142"/>
      <c r="C9" s="143"/>
      <c r="D9" s="144"/>
      <c r="E9" s="144"/>
      <c r="F9" s="30"/>
      <c r="G9" s="30"/>
      <c r="H9" s="30"/>
      <c r="I9" s="484"/>
      <c r="J9" s="486"/>
      <c r="K9" s="488"/>
      <c r="L9" s="145" t="s">
        <v>150</v>
      </c>
      <c r="M9" s="145" t="s">
        <v>151</v>
      </c>
      <c r="N9" s="145" t="s">
        <v>150</v>
      </c>
      <c r="O9" s="145" t="s">
        <v>151</v>
      </c>
      <c r="P9" s="478"/>
      <c r="Q9" s="30"/>
      <c r="R9" s="30"/>
      <c r="S9" s="8"/>
      <c r="T9" s="8"/>
      <c r="U9" s="8"/>
      <c r="V9" s="8"/>
      <c r="W9" s="8"/>
      <c r="X9" s="8"/>
      <c r="Y9" s="8"/>
      <c r="Z9" s="8"/>
      <c r="AA9" s="8"/>
    </row>
    <row r="10" spans="1:51" x14ac:dyDescent="0.25">
      <c r="A10" s="476"/>
      <c r="B10" s="476"/>
      <c r="C10" s="476"/>
      <c r="D10" s="476"/>
      <c r="E10" s="476"/>
      <c r="F10" s="476"/>
      <c r="G10" s="30"/>
      <c r="H10" s="30"/>
      <c r="I10" s="146">
        <v>1</v>
      </c>
      <c r="J10" s="147">
        <f>B6</f>
        <v>740</v>
      </c>
      <c r="K10" s="148">
        <v>16</v>
      </c>
      <c r="L10" s="149" t="s">
        <v>152</v>
      </c>
      <c r="M10" s="149" t="s">
        <v>152</v>
      </c>
      <c r="N10" s="149" t="s">
        <v>152</v>
      </c>
      <c r="O10" s="147" t="s">
        <v>152</v>
      </c>
      <c r="P10" s="150"/>
      <c r="Q10" s="151"/>
      <c r="R10" s="151"/>
      <c r="S10" s="152"/>
      <c r="T10" s="152"/>
      <c r="U10" s="8"/>
      <c r="V10" s="8"/>
      <c r="W10" s="8"/>
      <c r="X10" s="8"/>
      <c r="Y10" s="8"/>
      <c r="Z10" s="8"/>
      <c r="AA10" s="8"/>
    </row>
    <row r="11" spans="1:51" ht="16.8" x14ac:dyDescent="0.25">
      <c r="A11" s="136" t="s">
        <v>153</v>
      </c>
      <c r="B11" s="72">
        <v>6.3133333333333375E-2</v>
      </c>
      <c r="C11" s="482" t="s">
        <v>154</v>
      </c>
      <c r="D11" s="482"/>
      <c r="E11" s="482"/>
      <c r="F11" s="482"/>
      <c r="G11" s="30"/>
      <c r="H11" s="30"/>
      <c r="I11" s="146">
        <f t="shared" ref="I11:I16" si="0">IF(J11="","",I10+1)</f>
        <v>2</v>
      </c>
      <c r="J11" s="149">
        <v>736.5</v>
      </c>
      <c r="K11" s="153">
        <f>K10</f>
        <v>16</v>
      </c>
      <c r="L11" s="149" t="s">
        <v>152</v>
      </c>
      <c r="M11" s="149" t="s">
        <v>152</v>
      </c>
      <c r="N11" s="149" t="s">
        <v>152</v>
      </c>
      <c r="O11" s="147" t="s">
        <v>152</v>
      </c>
      <c r="P11" s="150"/>
      <c r="Q11" s="151"/>
      <c r="R11" s="151"/>
      <c r="S11" s="152"/>
      <c r="T11" s="152"/>
      <c r="U11" s="8"/>
      <c r="V11" s="8"/>
      <c r="W11" s="8"/>
      <c r="X11" s="8"/>
      <c r="Y11" s="8"/>
      <c r="Z11" s="8"/>
      <c r="AA11" s="8"/>
    </row>
    <row r="12" spans="1:51" ht="16.8" x14ac:dyDescent="0.25">
      <c r="A12" s="136" t="s">
        <v>155</v>
      </c>
      <c r="B12" s="72">
        <v>1.9633333333333303</v>
      </c>
      <c r="C12" s="482" t="s">
        <v>156</v>
      </c>
      <c r="D12" s="482"/>
      <c r="E12" s="482"/>
      <c r="F12" s="482"/>
      <c r="G12" s="30"/>
      <c r="H12" s="30"/>
      <c r="I12" s="146">
        <f t="shared" si="0"/>
        <v>3</v>
      </c>
      <c r="J12" s="149">
        <v>735.5</v>
      </c>
      <c r="K12" s="153">
        <f>IF(J12="","",K11+(-N12)*2)</f>
        <v>22.6</v>
      </c>
      <c r="L12" s="149">
        <v>13.423</v>
      </c>
      <c r="M12" s="149">
        <v>778.3</v>
      </c>
      <c r="N12" s="149">
        <v>-3.3</v>
      </c>
      <c r="O12" s="147">
        <f>IF(J12="","",J11)</f>
        <v>736.5</v>
      </c>
      <c r="P12" s="150"/>
      <c r="Q12" s="150"/>
      <c r="R12" s="150"/>
      <c r="S12" s="152"/>
      <c r="T12" s="152"/>
      <c r="U12" s="8"/>
      <c r="V12" s="8"/>
      <c r="W12" s="8"/>
      <c r="X12" s="8"/>
      <c r="Y12" s="8"/>
      <c r="Z12" s="8"/>
      <c r="AA12" s="8"/>
    </row>
    <row r="13" spans="1:51" ht="16.8" x14ac:dyDescent="0.25">
      <c r="A13" s="136" t="s">
        <v>157</v>
      </c>
      <c r="B13" s="72">
        <v>44.000000000000028</v>
      </c>
      <c r="C13" s="482" t="s">
        <v>158</v>
      </c>
      <c r="D13" s="482"/>
      <c r="E13" s="482"/>
      <c r="F13" s="482"/>
      <c r="G13" s="30"/>
      <c r="H13" s="30"/>
      <c r="I13" s="146">
        <f t="shared" si="0"/>
        <v>4</v>
      </c>
      <c r="J13" s="149">
        <v>733</v>
      </c>
      <c r="K13" s="153">
        <f>IF(J13="","",K12+(-N13)*2)</f>
        <v>31.6</v>
      </c>
      <c r="L13" s="149">
        <v>6.0030000000000001</v>
      </c>
      <c r="M13" s="149">
        <v>794.1</v>
      </c>
      <c r="N13" s="149">
        <v>-4.5</v>
      </c>
      <c r="O13" s="147">
        <f t="shared" ref="O13:O25" si="1">IF(J13="","",J12)</f>
        <v>735.5</v>
      </c>
      <c r="P13" s="150"/>
      <c r="Q13" s="150"/>
      <c r="R13" s="150"/>
      <c r="S13" s="152"/>
      <c r="T13" s="152"/>
      <c r="U13" s="8"/>
      <c r="V13" s="8"/>
      <c r="W13" s="8"/>
      <c r="X13" s="8"/>
      <c r="Y13" s="8"/>
      <c r="Z13" s="8"/>
      <c r="AA13" s="8"/>
    </row>
    <row r="14" spans="1:51" x14ac:dyDescent="0.25">
      <c r="A14" s="481" t="s">
        <v>159</v>
      </c>
      <c r="B14" s="481"/>
      <c r="C14" s="481"/>
      <c r="D14" s="481"/>
      <c r="E14" s="481"/>
      <c r="F14" s="481"/>
      <c r="G14" s="30"/>
      <c r="H14" s="30"/>
      <c r="I14" s="146">
        <f t="shared" si="0"/>
        <v>5</v>
      </c>
      <c r="J14" s="149">
        <v>731</v>
      </c>
      <c r="K14" s="153">
        <f>IF(J14="","",K13+(-N14)*2)</f>
        <v>43.8</v>
      </c>
      <c r="L14" s="149">
        <v>-4.3769999999999998</v>
      </c>
      <c r="M14" s="149">
        <v>788.6</v>
      </c>
      <c r="N14" s="149">
        <v>-6.1</v>
      </c>
      <c r="O14" s="147">
        <f t="shared" si="1"/>
        <v>733</v>
      </c>
      <c r="P14" s="150"/>
      <c r="Q14" s="150"/>
      <c r="R14" s="150"/>
      <c r="S14" s="152"/>
      <c r="T14" s="152"/>
      <c r="U14" s="8"/>
      <c r="V14" s="8"/>
      <c r="W14" s="8"/>
      <c r="X14" s="8"/>
      <c r="Y14" s="8"/>
      <c r="Z14" s="8"/>
      <c r="AA14" s="8"/>
    </row>
    <row r="15" spans="1:51" x14ac:dyDescent="0.25">
      <c r="A15" s="154"/>
      <c r="B15" s="154"/>
      <c r="C15" s="154"/>
      <c r="D15" s="154"/>
      <c r="E15" s="154"/>
      <c r="F15" s="154"/>
      <c r="G15" s="30"/>
      <c r="H15" s="30"/>
      <c r="I15" s="146">
        <f t="shared" si="0"/>
        <v>6</v>
      </c>
      <c r="J15" s="149">
        <v>727</v>
      </c>
      <c r="K15" s="153">
        <f>IF(J15="","",K14+(-N15)*2)</f>
        <v>62</v>
      </c>
      <c r="L15" s="149">
        <v>-8.6839999999999993</v>
      </c>
      <c r="M15" s="149">
        <v>814.6</v>
      </c>
      <c r="N15" s="149">
        <v>-9.1</v>
      </c>
      <c r="O15" s="147">
        <f t="shared" si="1"/>
        <v>731</v>
      </c>
      <c r="P15" s="150"/>
      <c r="Q15" s="150"/>
      <c r="R15" s="150"/>
      <c r="S15" s="152"/>
      <c r="T15" s="152"/>
      <c r="U15" s="8"/>
      <c r="V15" s="8"/>
      <c r="W15" s="8"/>
      <c r="X15" s="8"/>
      <c r="Y15" s="8"/>
      <c r="Z15" s="8"/>
      <c r="AA15" s="8"/>
    </row>
    <row r="16" spans="1:51" x14ac:dyDescent="0.25">
      <c r="A16" s="476"/>
      <c r="B16" s="476"/>
      <c r="C16" s="476"/>
      <c r="D16" s="476"/>
      <c r="E16" s="476"/>
      <c r="F16" s="476"/>
      <c r="G16" s="30"/>
      <c r="H16" s="30"/>
      <c r="I16" s="146">
        <f t="shared" si="0"/>
        <v>7</v>
      </c>
      <c r="J16" s="149">
        <v>724</v>
      </c>
      <c r="K16" s="153">
        <f>IF(J16="","",K15+(-N16)*2)</f>
        <v>88.2</v>
      </c>
      <c r="L16" s="149">
        <v>-19.376999999999999</v>
      </c>
      <c r="M16" s="149">
        <v>826.6</v>
      </c>
      <c r="N16" s="149">
        <v>-13.1</v>
      </c>
      <c r="O16" s="147">
        <f t="shared" si="1"/>
        <v>727</v>
      </c>
      <c r="P16" s="150"/>
      <c r="Q16" s="150"/>
      <c r="R16" s="150"/>
      <c r="S16" s="152"/>
      <c r="T16" s="152"/>
      <c r="U16" s="8"/>
      <c r="V16" s="8"/>
      <c r="W16" s="8"/>
      <c r="X16" s="8"/>
      <c r="Y16" s="8"/>
      <c r="Z16" s="8"/>
      <c r="AA16" s="8"/>
    </row>
    <row r="17" spans="1:27" ht="16.8" x14ac:dyDescent="0.25">
      <c r="A17" s="155" t="s">
        <v>160</v>
      </c>
      <c r="B17" s="137">
        <v>0.36</v>
      </c>
      <c r="C17" s="471" t="s">
        <v>161</v>
      </c>
      <c r="D17" s="471"/>
      <c r="E17" s="471"/>
      <c r="F17" s="471"/>
      <c r="G17" s="30"/>
      <c r="H17" s="30"/>
      <c r="I17" s="146"/>
      <c r="J17" s="149"/>
      <c r="K17" s="153"/>
      <c r="L17" s="149"/>
      <c r="M17" s="149"/>
      <c r="N17" s="149"/>
      <c r="O17" s="147"/>
      <c r="P17" s="150"/>
      <c r="Q17" s="150"/>
      <c r="R17" s="150"/>
      <c r="S17" s="152"/>
      <c r="T17" s="152"/>
      <c r="U17" s="8"/>
      <c r="V17" s="8"/>
      <c r="W17" s="8"/>
      <c r="X17" s="8"/>
      <c r="Y17" s="8"/>
      <c r="Z17" s="8"/>
      <c r="AA17" s="8"/>
    </row>
    <row r="18" spans="1:27" ht="16.8" x14ac:dyDescent="0.25">
      <c r="A18" s="155" t="s">
        <v>162</v>
      </c>
      <c r="B18" s="137">
        <v>0.9</v>
      </c>
      <c r="C18" s="471" t="s">
        <v>163</v>
      </c>
      <c r="D18" s="471"/>
      <c r="E18" s="471"/>
      <c r="F18" s="471"/>
      <c r="G18" s="30"/>
      <c r="H18" s="30"/>
      <c r="I18" s="146" t="str">
        <f t="shared" ref="I18:I25" si="2">IF(J18="","",I17+1)</f>
        <v/>
      </c>
      <c r="J18" s="149"/>
      <c r="K18" s="153" t="str">
        <f t="shared" ref="K18:K25" si="3">IF(J18="","",$P$11-N18)</f>
        <v/>
      </c>
      <c r="L18" s="149"/>
      <c r="M18" s="149"/>
      <c r="N18" s="149"/>
      <c r="O18" s="147" t="str">
        <f t="shared" si="1"/>
        <v/>
      </c>
      <c r="P18" s="150"/>
      <c r="Q18" s="150"/>
      <c r="R18" s="150"/>
      <c r="S18" s="152"/>
      <c r="T18" s="152"/>
      <c r="U18" s="8"/>
      <c r="V18" s="8"/>
      <c r="W18" s="8"/>
      <c r="X18" s="8"/>
      <c r="Y18" s="8"/>
      <c r="Z18" s="8"/>
      <c r="AA18" s="8"/>
    </row>
    <row r="19" spans="1:27" x14ac:dyDescent="0.25">
      <c r="A19" s="155" t="s">
        <v>122</v>
      </c>
      <c r="B19" s="137">
        <v>0.8</v>
      </c>
      <c r="C19" s="471" t="s">
        <v>164</v>
      </c>
      <c r="D19" s="471"/>
      <c r="E19" s="471"/>
      <c r="F19" s="471"/>
      <c r="G19" s="30"/>
      <c r="H19" s="30"/>
      <c r="I19" s="146" t="str">
        <f t="shared" si="2"/>
        <v/>
      </c>
      <c r="J19" s="149"/>
      <c r="K19" s="153" t="str">
        <f t="shared" si="3"/>
        <v/>
      </c>
      <c r="L19" s="149"/>
      <c r="M19" s="149"/>
      <c r="N19" s="149"/>
      <c r="O19" s="147" t="str">
        <f t="shared" si="1"/>
        <v/>
      </c>
      <c r="P19" s="150"/>
      <c r="Q19" s="150"/>
      <c r="R19" s="150"/>
      <c r="S19" s="152"/>
      <c r="T19" s="152"/>
      <c r="U19" s="8"/>
      <c r="V19" s="8"/>
      <c r="W19" s="8"/>
      <c r="X19" s="8"/>
      <c r="Y19" s="8"/>
      <c r="Z19" s="8"/>
      <c r="AA19" s="8"/>
    </row>
    <row r="20" spans="1:27" x14ac:dyDescent="0.25">
      <c r="A20" s="30"/>
      <c r="B20" s="156"/>
      <c r="C20" s="118"/>
      <c r="D20" s="118"/>
      <c r="E20" s="30"/>
      <c r="F20" s="30"/>
      <c r="G20" s="30"/>
      <c r="H20" s="30"/>
      <c r="I20" s="146" t="str">
        <f t="shared" si="2"/>
        <v/>
      </c>
      <c r="J20" s="149"/>
      <c r="K20" s="153" t="str">
        <f t="shared" si="3"/>
        <v/>
      </c>
      <c r="L20" s="149"/>
      <c r="M20" s="149"/>
      <c r="N20" s="149"/>
      <c r="O20" s="147" t="str">
        <f t="shared" si="1"/>
        <v/>
      </c>
      <c r="P20" s="150"/>
      <c r="Q20" s="151"/>
      <c r="R20" s="151"/>
      <c r="S20" s="152"/>
      <c r="T20" s="152"/>
      <c r="U20" s="8"/>
      <c r="V20" s="8"/>
      <c r="W20" s="8"/>
      <c r="X20" s="8"/>
      <c r="Y20" s="8"/>
      <c r="Z20" s="8"/>
      <c r="AA20" s="8"/>
    </row>
    <row r="21" spans="1:27" x14ac:dyDescent="0.25">
      <c r="A21" s="491"/>
      <c r="B21" s="491"/>
      <c r="C21" s="491"/>
      <c r="D21" s="491"/>
      <c r="E21" s="491"/>
      <c r="F21" s="491"/>
      <c r="G21" s="30"/>
      <c r="H21" s="30"/>
      <c r="I21" s="146" t="str">
        <f t="shared" si="2"/>
        <v/>
      </c>
      <c r="J21" s="149"/>
      <c r="K21" s="153" t="str">
        <f t="shared" si="3"/>
        <v/>
      </c>
      <c r="L21" s="149"/>
      <c r="M21" s="149"/>
      <c r="N21" s="149"/>
      <c r="O21" s="147" t="str">
        <f t="shared" si="1"/>
        <v/>
      </c>
      <c r="P21" s="150"/>
      <c r="Q21" s="151"/>
      <c r="R21" s="151"/>
      <c r="S21" s="152"/>
      <c r="T21" s="152"/>
      <c r="U21" s="8"/>
      <c r="V21" s="8"/>
      <c r="W21" s="8"/>
      <c r="X21" s="8"/>
      <c r="Y21" s="8"/>
      <c r="Z21" s="8"/>
      <c r="AA21" s="8"/>
    </row>
    <row r="22" spans="1:27" ht="16.8" x14ac:dyDescent="0.25">
      <c r="A22" s="136" t="s">
        <v>1</v>
      </c>
      <c r="B22" s="157">
        <v>2.6</v>
      </c>
      <c r="C22" s="31" t="s">
        <v>165</v>
      </c>
      <c r="D22" s="31"/>
      <c r="E22" s="31"/>
      <c r="F22" s="31"/>
      <c r="G22" s="30"/>
      <c r="H22" s="30"/>
      <c r="I22" s="146" t="str">
        <f t="shared" si="2"/>
        <v/>
      </c>
      <c r="J22" s="149"/>
      <c r="K22" s="153" t="str">
        <f t="shared" si="3"/>
        <v/>
      </c>
      <c r="L22" s="149"/>
      <c r="M22" s="149"/>
      <c r="N22" s="149"/>
      <c r="O22" s="147" t="str">
        <f t="shared" si="1"/>
        <v/>
      </c>
      <c r="P22" s="150"/>
      <c r="Q22" s="151"/>
      <c r="R22" s="151"/>
      <c r="S22" s="152"/>
      <c r="T22" s="152"/>
      <c r="U22" s="8"/>
      <c r="V22" s="8"/>
      <c r="W22" s="8"/>
      <c r="X22" s="8"/>
      <c r="Y22" s="8"/>
      <c r="Z22" s="8"/>
      <c r="AA22" s="8"/>
    </row>
    <row r="23" spans="1:27" ht="16.8" x14ac:dyDescent="0.25">
      <c r="A23" s="136" t="s">
        <v>2</v>
      </c>
      <c r="B23" s="157">
        <v>1.1000000000000001</v>
      </c>
      <c r="C23" s="482" t="s">
        <v>118</v>
      </c>
      <c r="D23" s="482"/>
      <c r="E23" s="482"/>
      <c r="F23" s="482"/>
      <c r="G23" s="30"/>
      <c r="H23" s="30"/>
      <c r="I23" s="146" t="str">
        <f t="shared" si="2"/>
        <v/>
      </c>
      <c r="J23" s="149"/>
      <c r="K23" s="153" t="str">
        <f t="shared" si="3"/>
        <v/>
      </c>
      <c r="L23" s="149"/>
      <c r="M23" s="149"/>
      <c r="N23" s="149"/>
      <c r="O23" s="147" t="str">
        <f t="shared" si="1"/>
        <v/>
      </c>
      <c r="P23" s="150"/>
      <c r="Q23" s="151"/>
      <c r="R23" s="151"/>
      <c r="S23" s="152"/>
      <c r="T23" s="152"/>
      <c r="U23" s="8"/>
      <c r="V23" s="8"/>
      <c r="W23" s="8"/>
      <c r="X23" s="8"/>
      <c r="Y23" s="8"/>
      <c r="Z23" s="8"/>
      <c r="AA23" s="8"/>
    </row>
    <row r="24" spans="1:27" ht="16.8" x14ac:dyDescent="0.25">
      <c r="A24" s="136" t="s">
        <v>3</v>
      </c>
      <c r="B24" s="158">
        <v>6.9999999999999999E-4</v>
      </c>
      <c r="C24" s="482" t="s">
        <v>118</v>
      </c>
      <c r="D24" s="482"/>
      <c r="E24" s="482"/>
      <c r="F24" s="482"/>
      <c r="G24" s="30"/>
      <c r="H24" s="30"/>
      <c r="I24" s="146" t="str">
        <f t="shared" si="2"/>
        <v/>
      </c>
      <c r="J24" s="149"/>
      <c r="K24" s="153" t="str">
        <f t="shared" si="3"/>
        <v/>
      </c>
      <c r="L24" s="149"/>
      <c r="M24" s="149"/>
      <c r="N24" s="149"/>
      <c r="O24" s="147" t="str">
        <f t="shared" si="1"/>
        <v/>
      </c>
      <c r="P24" s="150"/>
      <c r="Q24" s="151"/>
      <c r="R24" s="151"/>
      <c r="S24" s="152"/>
      <c r="T24" s="152"/>
      <c r="U24" s="8"/>
      <c r="V24" s="8"/>
      <c r="W24" s="8"/>
      <c r="X24" s="8"/>
      <c r="Y24" s="8"/>
      <c r="Z24" s="8"/>
      <c r="AA24" s="8"/>
    </row>
    <row r="25" spans="1:27" ht="16.8" x14ac:dyDescent="0.25">
      <c r="A25" s="136" t="s">
        <v>4</v>
      </c>
      <c r="B25" s="157">
        <v>0</v>
      </c>
      <c r="C25" s="482" t="s">
        <v>166</v>
      </c>
      <c r="D25" s="482"/>
      <c r="E25" s="482"/>
      <c r="F25" s="482"/>
      <c r="G25" s="30"/>
      <c r="H25" s="30"/>
      <c r="I25" s="146" t="str">
        <f t="shared" si="2"/>
        <v/>
      </c>
      <c r="J25" s="159"/>
      <c r="K25" s="153" t="str">
        <f t="shared" si="3"/>
        <v/>
      </c>
      <c r="L25" s="159"/>
      <c r="M25" s="159"/>
      <c r="N25" s="159"/>
      <c r="O25" s="147" t="str">
        <f t="shared" si="1"/>
        <v/>
      </c>
      <c r="P25" s="150"/>
      <c r="Q25" s="141"/>
      <c r="R25" s="141"/>
      <c r="S25" s="12"/>
      <c r="T25" s="152"/>
      <c r="U25" s="8"/>
      <c r="V25" s="8"/>
      <c r="W25" s="8"/>
      <c r="X25" s="8"/>
      <c r="Y25" s="8"/>
      <c r="Z25" s="8"/>
      <c r="AA25" s="8"/>
    </row>
    <row r="26" spans="1:27" ht="15.6" x14ac:dyDescent="0.25">
      <c r="A26" s="136"/>
      <c r="B26" s="160"/>
      <c r="C26" s="482"/>
      <c r="D26" s="482"/>
      <c r="E26" s="482"/>
      <c r="F26" s="482"/>
      <c r="G26" s="30"/>
      <c r="H26" s="30"/>
      <c r="I26" s="161" t="s">
        <v>224</v>
      </c>
      <c r="J26" s="162"/>
      <c r="K26" s="163"/>
      <c r="L26" s="163"/>
      <c r="M26" s="163"/>
      <c r="N26" s="163"/>
      <c r="O26" s="163"/>
      <c r="P26" s="118"/>
      <c r="Q26" s="30"/>
      <c r="R26" s="30"/>
      <c r="S26" s="8"/>
      <c r="T26" s="8"/>
      <c r="U26" s="8"/>
      <c r="V26" s="8"/>
      <c r="W26" s="8"/>
      <c r="X26" s="8"/>
      <c r="Y26" s="8"/>
      <c r="Z26" s="8"/>
      <c r="AA26" s="8"/>
    </row>
    <row r="27" spans="1:27" x14ac:dyDescent="0.25">
      <c r="A27" s="30"/>
      <c r="B27" s="30"/>
      <c r="C27" s="30"/>
      <c r="D27" s="30"/>
      <c r="E27" s="30"/>
      <c r="F27" s="30"/>
      <c r="G27" s="30"/>
      <c r="H27" s="30"/>
      <c r="I27" s="30"/>
      <c r="J27" s="30"/>
      <c r="K27" s="30"/>
      <c r="L27" s="30"/>
      <c r="M27" s="30"/>
      <c r="N27" s="30"/>
      <c r="O27" s="30"/>
      <c r="P27" s="30"/>
      <c r="Q27" s="30"/>
      <c r="R27" s="164"/>
      <c r="S27" s="8"/>
      <c r="T27" s="8"/>
      <c r="U27" s="8"/>
      <c r="V27" s="8"/>
      <c r="W27" s="8"/>
      <c r="X27" s="8"/>
      <c r="Y27" s="8"/>
      <c r="Z27" s="8"/>
      <c r="AA27" s="8"/>
    </row>
    <row r="28" spans="1:27" x14ac:dyDescent="0.25">
      <c r="A28" s="30"/>
      <c r="B28" s="30"/>
      <c r="C28" s="30"/>
      <c r="D28" s="30"/>
      <c r="E28" s="30"/>
      <c r="F28" s="30"/>
      <c r="G28" s="30"/>
      <c r="H28" s="30"/>
      <c r="I28" s="30"/>
      <c r="J28" s="30"/>
      <c r="K28" s="30"/>
      <c r="L28" s="30"/>
      <c r="M28" s="30"/>
      <c r="N28" s="30"/>
      <c r="O28" s="30"/>
      <c r="P28" s="30"/>
      <c r="Q28" s="30"/>
      <c r="R28" s="30"/>
      <c r="S28" s="8"/>
      <c r="T28" s="8"/>
      <c r="U28" s="8"/>
      <c r="V28" s="8"/>
      <c r="W28" s="8"/>
      <c r="X28" s="8"/>
      <c r="Y28" s="8"/>
      <c r="Z28" s="8"/>
      <c r="AA28" s="8"/>
    </row>
    <row r="29" spans="1:27" x14ac:dyDescent="0.25">
      <c r="A29" s="30"/>
      <c r="B29" s="165"/>
      <c r="C29" s="165"/>
      <c r="D29" s="166" t="s">
        <v>167</v>
      </c>
      <c r="E29" s="489"/>
      <c r="F29" s="489"/>
      <c r="G29" s="489"/>
      <c r="H29" s="30"/>
      <c r="I29" s="30"/>
      <c r="J29" s="30"/>
      <c r="K29" s="30"/>
      <c r="L29" s="30"/>
      <c r="M29" s="30"/>
      <c r="N29" s="30"/>
      <c r="O29" s="30"/>
      <c r="P29" s="30"/>
      <c r="Q29" s="30"/>
      <c r="R29" s="30"/>
      <c r="S29" s="8"/>
      <c r="T29" s="8"/>
      <c r="U29" s="8"/>
      <c r="V29" s="8"/>
      <c r="W29" s="8"/>
      <c r="X29" s="8"/>
      <c r="Y29" s="8"/>
      <c r="Z29" s="8"/>
      <c r="AA29" s="8"/>
    </row>
    <row r="30" spans="1:27" ht="16.8" x14ac:dyDescent="0.25">
      <c r="A30" s="30"/>
      <c r="B30" s="167" t="s">
        <v>168</v>
      </c>
      <c r="C30" s="168">
        <f>MAX(G56:G329)</f>
        <v>5006.8074440098371</v>
      </c>
      <c r="D30" s="169" t="s">
        <v>169</v>
      </c>
      <c r="E30" s="170" t="s">
        <v>170</v>
      </c>
      <c r="F30" s="171"/>
      <c r="G30" s="172"/>
      <c r="H30" s="30"/>
      <c r="I30" s="30"/>
      <c r="J30" s="30"/>
      <c r="K30" s="30"/>
      <c r="L30" s="30"/>
      <c r="M30" s="30"/>
      <c r="N30" s="30"/>
      <c r="O30" s="30"/>
      <c r="P30" s="30"/>
      <c r="Q30" s="30"/>
      <c r="R30" s="30"/>
      <c r="S30" s="8"/>
      <c r="T30" s="8"/>
      <c r="U30" s="8"/>
      <c r="V30" s="8"/>
      <c r="W30" s="8"/>
      <c r="X30" s="8"/>
      <c r="Y30" s="8"/>
      <c r="Z30" s="8"/>
      <c r="AA30" s="8"/>
    </row>
    <row r="31" spans="1:27" ht="16.8" x14ac:dyDescent="0.25">
      <c r="A31" s="30"/>
      <c r="B31" s="173" t="s">
        <v>171</v>
      </c>
      <c r="C31" s="174">
        <f>INDEX(AJ62:AJ208,MATCH(MAX(G62:G208),G62:G208,0))</f>
        <v>12.152459051180681</v>
      </c>
      <c r="D31" s="175" t="s">
        <v>115</v>
      </c>
      <c r="E31" s="176" t="s">
        <v>172</v>
      </c>
      <c r="F31" s="177"/>
      <c r="G31" s="178"/>
      <c r="H31" s="30"/>
      <c r="I31" s="30"/>
      <c r="J31" s="30"/>
      <c r="K31" s="30"/>
      <c r="L31" s="30"/>
      <c r="M31" s="30"/>
      <c r="N31" s="30"/>
      <c r="O31" s="30"/>
      <c r="P31" s="30"/>
      <c r="Q31" s="30"/>
      <c r="R31" s="30"/>
      <c r="S31" s="8"/>
      <c r="T31" s="8"/>
      <c r="U31" s="8"/>
      <c r="V31" s="8"/>
      <c r="W31" s="8"/>
      <c r="X31" s="8"/>
      <c r="Y31" s="8"/>
      <c r="Z31" s="8"/>
      <c r="AA31" s="8"/>
    </row>
    <row r="32" spans="1:27" x14ac:dyDescent="0.25">
      <c r="A32" s="30"/>
      <c r="B32" s="73" t="s">
        <v>133</v>
      </c>
      <c r="C32" s="126" t="e">
        <f>IF(Calculation!H13&gt;0,err(Calculation!H13,B8,B11,B12),"")</f>
        <v>#VALUE!</v>
      </c>
      <c r="D32" s="127"/>
      <c r="E32" s="128" t="s">
        <v>137</v>
      </c>
      <c r="F32" s="129"/>
      <c r="G32" s="130"/>
      <c r="H32" s="30"/>
      <c r="I32" s="30"/>
      <c r="J32" s="30"/>
      <c r="K32" s="30"/>
      <c r="L32" s="30"/>
      <c r="M32" s="30"/>
      <c r="N32" s="30"/>
      <c r="O32" s="30"/>
      <c r="P32" s="30"/>
      <c r="Q32" s="30"/>
      <c r="R32" s="30"/>
      <c r="S32" s="8"/>
      <c r="T32" s="8"/>
      <c r="U32" s="8"/>
      <c r="V32" s="8"/>
      <c r="W32" s="8"/>
      <c r="X32" s="8"/>
      <c r="Y32" s="8"/>
      <c r="Z32" s="8"/>
      <c r="AA32" s="8"/>
    </row>
    <row r="33" spans="1:27" x14ac:dyDescent="0.25">
      <c r="A33" s="30"/>
      <c r="B33" s="30"/>
      <c r="C33" s="30"/>
      <c r="D33" s="30"/>
      <c r="E33" s="30"/>
      <c r="F33" s="30"/>
      <c r="G33" s="30"/>
      <c r="H33" s="30"/>
      <c r="I33" s="30"/>
      <c r="J33" s="30"/>
      <c r="K33" s="30"/>
      <c r="L33" s="30"/>
      <c r="M33" s="30"/>
      <c r="N33" s="30"/>
      <c r="O33" s="30"/>
      <c r="P33" s="30"/>
      <c r="Q33" s="30"/>
      <c r="R33" s="30"/>
      <c r="S33" s="8"/>
      <c r="T33" s="8"/>
      <c r="U33" s="8"/>
      <c r="V33" s="8"/>
      <c r="W33" s="8"/>
      <c r="X33" s="8"/>
      <c r="Y33" s="8"/>
      <c r="Z33" s="8"/>
      <c r="AA33" s="8"/>
    </row>
    <row r="34" spans="1:27" x14ac:dyDescent="0.25">
      <c r="A34" s="30"/>
      <c r="B34" s="30"/>
      <c r="C34" s="30"/>
      <c r="D34" s="30"/>
      <c r="E34" s="30"/>
      <c r="F34" s="30"/>
      <c r="G34" s="30"/>
      <c r="H34" s="30"/>
      <c r="I34" s="30"/>
      <c r="J34" s="30"/>
      <c r="K34" s="30"/>
      <c r="L34" s="30"/>
      <c r="M34" s="30"/>
      <c r="N34" s="30"/>
      <c r="O34" s="30"/>
      <c r="P34" s="30"/>
      <c r="Q34" s="30"/>
      <c r="R34" s="30"/>
      <c r="S34" s="8"/>
      <c r="T34" s="8"/>
      <c r="U34" s="8"/>
      <c r="V34" s="8"/>
      <c r="W34" s="8"/>
      <c r="X34" s="8"/>
      <c r="Y34" s="8"/>
      <c r="Z34" s="8"/>
      <c r="AA34" s="8"/>
    </row>
    <row r="35" spans="1:27" x14ac:dyDescent="0.25">
      <c r="A35" s="30"/>
      <c r="B35" s="30"/>
      <c r="C35" s="30"/>
      <c r="D35" s="30"/>
      <c r="E35" s="30"/>
      <c r="F35" s="30"/>
      <c r="G35" s="30"/>
      <c r="H35" s="30"/>
      <c r="I35" s="30"/>
      <c r="J35" s="30"/>
      <c r="K35" s="30"/>
      <c r="L35" s="30"/>
      <c r="M35" s="30"/>
      <c r="N35" s="30"/>
      <c r="O35" s="30"/>
      <c r="P35" s="30"/>
      <c r="Q35" s="30"/>
      <c r="R35" s="30"/>
      <c r="S35" s="8"/>
      <c r="T35" s="8"/>
      <c r="U35" s="8"/>
      <c r="V35" s="8"/>
      <c r="W35" s="8"/>
      <c r="X35" s="8"/>
      <c r="Y35" s="8"/>
      <c r="Z35" s="8"/>
      <c r="AA35" s="8"/>
    </row>
    <row r="36" spans="1:27" x14ac:dyDescent="0.25">
      <c r="A36" s="30"/>
      <c r="B36" s="30"/>
      <c r="C36" s="30"/>
      <c r="D36" s="30"/>
      <c r="E36" s="30"/>
      <c r="F36" s="30"/>
      <c r="G36" s="30"/>
      <c r="H36" s="30"/>
      <c r="I36" s="30"/>
      <c r="J36" s="30"/>
      <c r="K36" s="30"/>
      <c r="L36" s="30"/>
      <c r="M36" s="30"/>
      <c r="N36" s="30"/>
      <c r="O36" s="30"/>
      <c r="P36" s="30"/>
      <c r="Q36" s="30"/>
      <c r="R36" s="30"/>
      <c r="S36" s="8"/>
      <c r="T36" s="8"/>
      <c r="U36" s="8"/>
      <c r="V36" s="8"/>
      <c r="W36" s="8"/>
      <c r="X36" s="8"/>
      <c r="Y36" s="8"/>
      <c r="Z36" s="8"/>
      <c r="AA36" s="8"/>
    </row>
    <row r="37" spans="1:27" x14ac:dyDescent="0.25">
      <c r="A37" s="30"/>
      <c r="B37" s="30"/>
      <c r="C37" s="30"/>
      <c r="D37" s="30"/>
      <c r="E37" s="30"/>
      <c r="F37" s="30"/>
      <c r="G37" s="30"/>
      <c r="H37" s="30"/>
      <c r="I37" s="30"/>
      <c r="J37" s="30"/>
      <c r="K37" s="30"/>
      <c r="L37" s="30"/>
      <c r="M37" s="30"/>
      <c r="N37" s="30"/>
      <c r="O37" s="30"/>
      <c r="P37" s="30"/>
      <c r="Q37" s="30"/>
      <c r="R37" s="30"/>
      <c r="S37" s="8"/>
      <c r="T37" s="8"/>
      <c r="U37" s="8"/>
      <c r="V37" s="8"/>
      <c r="W37" s="8"/>
      <c r="X37" s="8"/>
      <c r="Y37" s="8"/>
      <c r="Z37" s="8"/>
      <c r="AA37" s="8"/>
    </row>
    <row r="38" spans="1:27" x14ac:dyDescent="0.25">
      <c r="A38" s="30"/>
      <c r="B38" s="30"/>
      <c r="C38" s="30"/>
      <c r="D38" s="30"/>
      <c r="E38" s="30"/>
      <c r="F38" s="30"/>
      <c r="G38" s="30"/>
      <c r="H38" s="30"/>
      <c r="I38" s="30"/>
      <c r="J38" s="30"/>
      <c r="K38" s="30"/>
      <c r="L38" s="30"/>
      <c r="M38" s="30"/>
      <c r="N38" s="30"/>
      <c r="O38" s="30"/>
      <c r="P38" s="30"/>
      <c r="Q38" s="30"/>
      <c r="R38" s="30"/>
      <c r="S38" s="8"/>
      <c r="T38" s="8"/>
      <c r="U38" s="8"/>
      <c r="V38" s="8"/>
      <c r="W38" s="8"/>
      <c r="X38" s="8"/>
      <c r="Y38" s="8"/>
      <c r="Z38" s="8"/>
      <c r="AA38" s="8"/>
    </row>
    <row r="39" spans="1:27" x14ac:dyDescent="0.25">
      <c r="A39" s="30"/>
      <c r="B39" s="30"/>
      <c r="C39" s="30"/>
      <c r="D39" s="30"/>
      <c r="E39" s="30"/>
      <c r="F39" s="30"/>
      <c r="G39" s="30"/>
      <c r="H39" s="30"/>
      <c r="I39" s="30"/>
      <c r="J39" s="30"/>
      <c r="K39" s="30"/>
      <c r="L39" s="30"/>
      <c r="M39" s="30"/>
      <c r="N39" s="30"/>
      <c r="O39" s="30"/>
      <c r="P39" s="30"/>
      <c r="Q39" s="30"/>
      <c r="R39" s="30"/>
      <c r="S39" s="8"/>
      <c r="T39" s="8"/>
      <c r="U39" s="8"/>
      <c r="V39" s="8"/>
      <c r="W39" s="8"/>
      <c r="X39" s="8"/>
      <c r="Y39" s="8"/>
      <c r="Z39" s="8"/>
      <c r="AA39" s="8"/>
    </row>
    <row r="40" spans="1:27" x14ac:dyDescent="0.25">
      <c r="A40" s="30"/>
      <c r="B40" s="30"/>
      <c r="C40" s="30"/>
      <c r="D40" s="30"/>
      <c r="E40" s="30"/>
      <c r="F40" s="30"/>
      <c r="G40" s="30"/>
      <c r="H40" s="30"/>
      <c r="I40" s="30"/>
      <c r="J40" s="30"/>
      <c r="K40" s="30"/>
      <c r="L40" s="30"/>
      <c r="M40" s="30"/>
      <c r="N40" s="30"/>
      <c r="O40" s="30"/>
      <c r="P40" s="30"/>
      <c r="Q40" s="30"/>
      <c r="R40" s="30"/>
      <c r="S40" s="8"/>
      <c r="T40" s="8"/>
      <c r="U40" s="8"/>
      <c r="V40" s="8"/>
      <c r="W40" s="8"/>
      <c r="X40" s="8"/>
      <c r="Y40" s="8"/>
      <c r="Z40" s="8"/>
      <c r="AA40" s="8"/>
    </row>
    <row r="41" spans="1:27" x14ac:dyDescent="0.25">
      <c r="A41" s="30"/>
      <c r="B41" s="30"/>
      <c r="C41" s="30"/>
      <c r="D41" s="30"/>
      <c r="E41" s="30"/>
      <c r="F41" s="30"/>
      <c r="G41" s="30"/>
      <c r="H41" s="30"/>
      <c r="I41" s="30"/>
      <c r="J41" s="30"/>
      <c r="K41" s="30"/>
      <c r="L41" s="30"/>
      <c r="M41" s="30"/>
      <c r="N41" s="30"/>
      <c r="O41" s="30"/>
      <c r="P41" s="30"/>
      <c r="Q41" s="30"/>
      <c r="R41" s="30"/>
      <c r="S41" s="8"/>
      <c r="T41" s="8"/>
      <c r="U41" s="8"/>
      <c r="V41" s="8"/>
      <c r="W41" s="8"/>
      <c r="X41" s="8"/>
      <c r="Y41" s="8"/>
      <c r="Z41" s="8"/>
      <c r="AA41" s="8"/>
    </row>
    <row r="42" spans="1:27" x14ac:dyDescent="0.25">
      <c r="A42" s="30"/>
      <c r="B42" s="30"/>
      <c r="C42" s="30"/>
      <c r="D42" s="30"/>
      <c r="E42" s="30"/>
      <c r="F42" s="30"/>
      <c r="G42" s="30"/>
      <c r="H42" s="30"/>
      <c r="I42" s="30"/>
      <c r="J42" s="30"/>
      <c r="K42" s="30"/>
      <c r="L42" s="30"/>
      <c r="M42" s="30"/>
      <c r="N42" s="30"/>
      <c r="O42" s="30"/>
      <c r="P42" s="30"/>
      <c r="Q42" s="30"/>
      <c r="R42" s="30"/>
      <c r="S42" s="8"/>
      <c r="T42" s="8"/>
      <c r="U42" s="8"/>
      <c r="V42" s="8"/>
      <c r="W42" s="8"/>
      <c r="X42" s="8"/>
      <c r="Y42" s="8"/>
      <c r="Z42" s="8"/>
      <c r="AA42" s="8"/>
    </row>
    <row r="43" spans="1:27" x14ac:dyDescent="0.25">
      <c r="A43" s="30"/>
      <c r="B43" s="30"/>
      <c r="C43" s="30"/>
      <c r="D43" s="30"/>
      <c r="E43" s="30"/>
      <c r="F43" s="30"/>
      <c r="G43" s="30"/>
      <c r="H43" s="30"/>
      <c r="I43" s="30"/>
      <c r="J43" s="30"/>
      <c r="K43" s="30"/>
      <c r="L43" s="30"/>
      <c r="M43" s="30"/>
      <c r="N43" s="30"/>
      <c r="O43" s="30"/>
      <c r="P43" s="30"/>
      <c r="Q43" s="30"/>
      <c r="R43" s="30"/>
      <c r="S43" s="8"/>
      <c r="T43" s="8"/>
      <c r="U43" s="8"/>
      <c r="V43" s="8"/>
      <c r="W43" s="8"/>
      <c r="X43" s="8"/>
      <c r="Y43" s="8"/>
      <c r="Z43" s="8"/>
      <c r="AA43" s="8"/>
    </row>
    <row r="44" spans="1:27" x14ac:dyDescent="0.25">
      <c r="A44" s="30"/>
      <c r="B44" s="30"/>
      <c r="C44" s="30"/>
      <c r="D44" s="30"/>
      <c r="E44" s="30"/>
      <c r="F44" s="30"/>
      <c r="G44" s="30"/>
      <c r="H44" s="30"/>
      <c r="I44" s="30"/>
      <c r="J44" s="30"/>
      <c r="K44" s="30"/>
      <c r="L44" s="30"/>
      <c r="M44" s="30"/>
      <c r="N44" s="30"/>
      <c r="O44" s="30"/>
      <c r="P44" s="30"/>
      <c r="Q44" s="30"/>
      <c r="R44" s="30"/>
      <c r="S44" s="8"/>
      <c r="T44" s="8"/>
      <c r="U44" s="8"/>
      <c r="V44" s="8"/>
      <c r="W44" s="8"/>
      <c r="X44" s="8"/>
      <c r="Y44" s="8"/>
      <c r="Z44" s="8"/>
      <c r="AA44" s="8"/>
    </row>
    <row r="45" spans="1:27" x14ac:dyDescent="0.25">
      <c r="A45" s="30"/>
      <c r="B45" s="30"/>
      <c r="C45" s="30"/>
      <c r="D45" s="30"/>
      <c r="E45" s="30"/>
      <c r="F45" s="30"/>
      <c r="G45" s="30"/>
      <c r="H45" s="30"/>
      <c r="I45" s="30"/>
      <c r="J45" s="30"/>
      <c r="K45" s="30"/>
      <c r="L45" s="30"/>
      <c r="M45" s="30"/>
      <c r="N45" s="30"/>
      <c r="O45" s="30"/>
      <c r="P45" s="30"/>
      <c r="Q45" s="30"/>
      <c r="R45" s="30"/>
      <c r="S45" s="8"/>
      <c r="T45" s="8"/>
      <c r="U45" s="8"/>
      <c r="V45" s="8"/>
      <c r="W45" s="8"/>
      <c r="X45" s="8"/>
      <c r="Y45" s="8"/>
      <c r="Z45" s="8"/>
      <c r="AA45" s="8"/>
    </row>
    <row r="46" spans="1:27" x14ac:dyDescent="0.25">
      <c r="A46" s="30"/>
      <c r="B46" s="30"/>
      <c r="C46" s="30"/>
      <c r="D46" s="30"/>
      <c r="E46" s="30"/>
      <c r="F46" s="30"/>
      <c r="G46" s="30"/>
      <c r="H46" s="30"/>
      <c r="I46" s="30"/>
      <c r="J46" s="30"/>
      <c r="K46" s="30"/>
      <c r="L46" s="30"/>
      <c r="M46" s="30"/>
      <c r="N46" s="30"/>
      <c r="O46" s="30"/>
      <c r="P46" s="30"/>
      <c r="Q46" s="30"/>
      <c r="R46" s="30"/>
      <c r="S46" s="8"/>
      <c r="T46" s="8"/>
      <c r="U46" s="8"/>
      <c r="V46" s="8"/>
      <c r="W46" s="8"/>
      <c r="X46" s="8"/>
      <c r="Y46" s="8"/>
      <c r="Z46" s="8"/>
      <c r="AA46" s="8"/>
    </row>
    <row r="47" spans="1:27" x14ac:dyDescent="0.25">
      <c r="A47" s="30"/>
      <c r="B47" s="30"/>
      <c r="C47" s="30"/>
      <c r="D47" s="30"/>
      <c r="E47" s="30"/>
      <c r="F47" s="30"/>
      <c r="G47" s="30"/>
      <c r="H47" s="30"/>
      <c r="I47" s="30"/>
      <c r="J47" s="30"/>
      <c r="K47" s="30"/>
      <c r="L47" s="30"/>
      <c r="M47" s="30"/>
      <c r="N47" s="30"/>
      <c r="O47" s="30"/>
      <c r="P47" s="30"/>
      <c r="Q47" s="30"/>
      <c r="R47" s="30"/>
      <c r="S47" s="8"/>
      <c r="T47" s="8"/>
      <c r="U47" s="8"/>
      <c r="V47" s="8"/>
      <c r="W47" s="8"/>
      <c r="X47" s="8"/>
      <c r="Y47" s="8"/>
      <c r="Z47" s="8"/>
      <c r="AA47" s="8"/>
    </row>
    <row r="48" spans="1:27" x14ac:dyDescent="0.25">
      <c r="A48" s="30"/>
      <c r="B48" s="30"/>
      <c r="C48" s="30"/>
      <c r="D48" s="30" t="s">
        <v>173</v>
      </c>
      <c r="E48" s="30"/>
      <c r="F48" s="30"/>
      <c r="G48" s="30"/>
      <c r="H48" s="30"/>
      <c r="I48" s="30"/>
      <c r="J48" s="30"/>
      <c r="K48" s="30"/>
      <c r="L48" s="30" t="s">
        <v>174</v>
      </c>
      <c r="M48" s="30"/>
      <c r="N48" s="30"/>
      <c r="O48" s="30"/>
      <c r="P48" s="30"/>
      <c r="Q48" s="30"/>
      <c r="R48" s="30"/>
      <c r="S48" s="8"/>
      <c r="T48" s="8"/>
      <c r="U48" s="8"/>
      <c r="V48" s="8"/>
      <c r="W48" s="8"/>
      <c r="X48" s="8"/>
      <c r="Y48" s="8"/>
      <c r="Z48" s="8"/>
      <c r="AA48" s="8"/>
    </row>
    <row r="49" spans="1:52" ht="15" thickBot="1" x14ac:dyDescent="0.3">
      <c r="A49" s="30"/>
      <c r="B49" s="30"/>
      <c r="C49" s="30"/>
      <c r="D49" s="30"/>
      <c r="E49" s="30"/>
      <c r="F49" s="30"/>
      <c r="G49" s="30"/>
      <c r="H49" s="30"/>
      <c r="I49" s="30"/>
      <c r="J49" s="30"/>
      <c r="K49" s="30"/>
      <c r="L49" s="30"/>
      <c r="M49" s="30"/>
      <c r="N49" s="30"/>
      <c r="O49" s="30"/>
      <c r="P49" s="30"/>
      <c r="Q49" s="30"/>
      <c r="R49" s="30"/>
      <c r="S49" s="8"/>
      <c r="T49" s="8"/>
      <c r="U49" s="8"/>
      <c r="V49" s="8"/>
      <c r="W49" s="8"/>
      <c r="X49" s="8"/>
      <c r="Y49" s="8"/>
      <c r="Z49" s="8"/>
      <c r="AA49" s="8"/>
    </row>
    <row r="50" spans="1:52" x14ac:dyDescent="0.25">
      <c r="A50" s="179"/>
      <c r="B50" s="180"/>
      <c r="C50" s="180"/>
      <c r="D50" s="180"/>
      <c r="E50" s="180"/>
      <c r="F50" s="180"/>
      <c r="G50" s="180"/>
      <c r="H50" s="180"/>
      <c r="I50" s="180"/>
      <c r="J50" s="180"/>
      <c r="K50" s="180" t="s">
        <v>175</v>
      </c>
      <c r="L50" s="180">
        <v>30</v>
      </c>
      <c r="M50" s="180"/>
      <c r="N50" s="180"/>
      <c r="O50" s="180"/>
      <c r="P50" s="180"/>
      <c r="Q50" s="181"/>
      <c r="R50" s="181"/>
      <c r="S50" s="181"/>
      <c r="T50" s="181"/>
      <c r="U50" s="181"/>
      <c r="V50" s="181"/>
      <c r="W50" s="181"/>
      <c r="X50" s="181"/>
      <c r="Y50" s="182"/>
      <c r="Z50" s="8"/>
      <c r="AA50" s="8"/>
    </row>
    <row r="51" spans="1:52" x14ac:dyDescent="0.25">
      <c r="A51" s="183"/>
      <c r="B51" s="184" t="s">
        <v>176</v>
      </c>
      <c r="C51" s="184">
        <f>B6</f>
        <v>740</v>
      </c>
      <c r="D51" s="185"/>
      <c r="E51" s="184" t="s">
        <v>177</v>
      </c>
      <c r="F51" s="186">
        <f>B8</f>
        <v>700</v>
      </c>
      <c r="G51" s="186" t="s">
        <v>178</v>
      </c>
      <c r="H51" s="186">
        <v>742.5</v>
      </c>
      <c r="I51" s="186"/>
      <c r="J51" s="187"/>
      <c r="K51" s="188" t="s">
        <v>179</v>
      </c>
      <c r="L51" s="186">
        <f>B22</f>
        <v>2.6</v>
      </c>
      <c r="M51" s="185"/>
      <c r="N51" s="185"/>
      <c r="O51" s="184" t="s">
        <v>180</v>
      </c>
      <c r="P51" s="186">
        <f>B17</f>
        <v>0.36</v>
      </c>
      <c r="Q51" s="187"/>
      <c r="R51" s="184" t="s">
        <v>181</v>
      </c>
      <c r="S51" s="186">
        <f>1-27.8*(P53-0.67)^3</f>
        <v>0.93892339999999996</v>
      </c>
      <c r="T51" s="186">
        <f>(S54*S53*C55)^2</f>
        <v>2.8341735671955877</v>
      </c>
      <c r="U51" s="34"/>
      <c r="V51" s="34"/>
      <c r="W51" s="34" t="s">
        <v>104</v>
      </c>
      <c r="X51" s="34">
        <v>5</v>
      </c>
      <c r="Y51" s="189"/>
      <c r="Z51" s="8"/>
      <c r="AA51" s="8"/>
    </row>
    <row r="52" spans="1:52" x14ac:dyDescent="0.25">
      <c r="A52" s="183"/>
      <c r="B52" s="184" t="s">
        <v>182</v>
      </c>
      <c r="C52" s="184">
        <f>K10</f>
        <v>16</v>
      </c>
      <c r="D52" s="185"/>
      <c r="E52" s="184" t="s">
        <v>56</v>
      </c>
      <c r="F52" s="187">
        <f>B11*2</f>
        <v>0.12626666666666675</v>
      </c>
      <c r="G52" s="186" t="s">
        <v>183</v>
      </c>
      <c r="H52" s="186">
        <v>704.5</v>
      </c>
      <c r="I52" s="186"/>
      <c r="J52" s="185"/>
      <c r="K52" s="188" t="s">
        <v>184</v>
      </c>
      <c r="L52" s="186">
        <f>B23</f>
        <v>1.1000000000000001</v>
      </c>
      <c r="M52" s="185"/>
      <c r="N52" s="185"/>
      <c r="O52" s="184" t="s">
        <v>185</v>
      </c>
      <c r="P52" s="186">
        <f>B18</f>
        <v>0.9</v>
      </c>
      <c r="Q52" s="187"/>
      <c r="R52" s="187" t="s">
        <v>54</v>
      </c>
      <c r="S52" s="186">
        <f>P51*P52*4.427</f>
        <v>1.434348</v>
      </c>
      <c r="T52" s="187"/>
      <c r="U52" s="34"/>
      <c r="V52" s="34"/>
      <c r="W52" s="34"/>
      <c r="X52" s="34"/>
      <c r="Y52" s="189"/>
      <c r="Z52" s="8"/>
      <c r="AA52" s="8"/>
    </row>
    <row r="53" spans="1:52" x14ac:dyDescent="0.25">
      <c r="A53" s="183"/>
      <c r="B53" s="184" t="s">
        <v>186</v>
      </c>
      <c r="C53" s="186">
        <f>B7</f>
        <v>80</v>
      </c>
      <c r="D53" s="185"/>
      <c r="E53" s="184" t="s">
        <v>187</v>
      </c>
      <c r="F53" s="186">
        <f>B12</f>
        <v>1.9633333333333303</v>
      </c>
      <c r="G53" s="184"/>
      <c r="H53" s="184"/>
      <c r="I53" s="184"/>
      <c r="J53" s="185"/>
      <c r="K53" s="188" t="s">
        <v>188</v>
      </c>
      <c r="L53" s="186">
        <f>B24</f>
        <v>6.9999999999999999E-4</v>
      </c>
      <c r="M53" s="186">
        <f>1/L53</f>
        <v>1428.5714285714287</v>
      </c>
      <c r="N53" s="185"/>
      <c r="O53" s="190" t="s">
        <v>122</v>
      </c>
      <c r="P53" s="186">
        <f>B19</f>
        <v>0.8</v>
      </c>
      <c r="Q53" s="187"/>
      <c r="R53" s="184" t="s">
        <v>55</v>
      </c>
      <c r="S53" s="186">
        <f>P51*P52*S51</f>
        <v>0.30421118159999999</v>
      </c>
      <c r="T53" s="187"/>
      <c r="U53" s="34"/>
      <c r="V53" s="34"/>
      <c r="W53" s="34"/>
      <c r="X53" s="34"/>
      <c r="Y53" s="189"/>
      <c r="Z53" s="8"/>
      <c r="AA53" s="8"/>
    </row>
    <row r="54" spans="1:52" x14ac:dyDescent="0.25">
      <c r="A54" s="183"/>
      <c r="B54" s="184" t="s">
        <v>189</v>
      </c>
      <c r="C54" s="186">
        <v>9.8000000000000007</v>
      </c>
      <c r="D54" s="185"/>
      <c r="E54" s="184" t="s">
        <v>49</v>
      </c>
      <c r="F54" s="184">
        <f>B13</f>
        <v>44.000000000000028</v>
      </c>
      <c r="G54" s="184"/>
      <c r="H54" s="184"/>
      <c r="I54" s="184"/>
      <c r="J54" s="185"/>
      <c r="K54" s="188" t="s">
        <v>190</v>
      </c>
      <c r="L54" s="186">
        <f>B25</f>
        <v>0</v>
      </c>
      <c r="M54" s="185"/>
      <c r="N54" s="185"/>
      <c r="O54" s="184" t="s">
        <v>51</v>
      </c>
      <c r="P54" s="186">
        <f>B26</f>
        <v>0</v>
      </c>
      <c r="Q54" s="187"/>
      <c r="R54" s="184" t="s">
        <v>191</v>
      </c>
      <c r="S54" s="186">
        <f>1/P53</f>
        <v>1.25</v>
      </c>
      <c r="T54" s="187"/>
      <c r="U54" s="34"/>
      <c r="V54" s="34"/>
      <c r="W54" s="34"/>
      <c r="X54" s="34"/>
      <c r="Y54" s="189"/>
      <c r="Z54" s="8"/>
      <c r="AA54" s="8"/>
    </row>
    <row r="55" spans="1:52" s="8" customFormat="1" x14ac:dyDescent="0.25">
      <c r="A55" s="191"/>
      <c r="B55" s="184" t="s">
        <v>52</v>
      </c>
      <c r="C55" s="186">
        <f>SQRT(2*C54)</f>
        <v>4.4271887242357311</v>
      </c>
      <c r="D55" s="185"/>
      <c r="E55" s="187" t="s">
        <v>57</v>
      </c>
      <c r="F55" s="186">
        <v>271.67901639555089</v>
      </c>
      <c r="G55" s="186">
        <v>57.334189971293625</v>
      </c>
      <c r="H55" s="186">
        <f>F55-G55</f>
        <v>214.34482642425726</v>
      </c>
      <c r="I55" s="186"/>
      <c r="J55" s="186"/>
      <c r="K55" s="184" t="s">
        <v>135</v>
      </c>
      <c r="L55" s="186">
        <v>2.5000000000000001E-2</v>
      </c>
      <c r="M55" s="187"/>
      <c r="N55" s="187"/>
      <c r="O55" s="187"/>
      <c r="P55" s="184"/>
      <c r="Q55" s="184"/>
      <c r="R55" s="184" t="s">
        <v>11</v>
      </c>
      <c r="S55" s="186">
        <f>S53*S54</f>
        <v>0.38026397699999998</v>
      </c>
      <c r="T55" s="187"/>
      <c r="U55" s="34"/>
      <c r="V55" s="34"/>
      <c r="W55" s="34"/>
      <c r="X55" s="34"/>
      <c r="Y55" s="189"/>
    </row>
    <row r="56" spans="1:52" s="8" customFormat="1" ht="15" thickBot="1" x14ac:dyDescent="0.3">
      <c r="A56" s="192"/>
      <c r="B56" s="193"/>
      <c r="C56" s="193"/>
      <c r="D56" s="490"/>
      <c r="E56" s="490"/>
      <c r="F56" s="490"/>
      <c r="G56" s="490"/>
      <c r="H56" s="193"/>
      <c r="I56" s="193"/>
      <c r="J56" s="193"/>
      <c r="K56" s="193"/>
      <c r="L56" s="193"/>
      <c r="M56" s="193"/>
      <c r="N56" s="193"/>
      <c r="O56" s="193"/>
      <c r="P56" s="193"/>
      <c r="Q56" s="194"/>
      <c r="R56" s="194"/>
      <c r="S56" s="194"/>
      <c r="T56" s="194"/>
      <c r="U56" s="194">
        <v>-7.9</v>
      </c>
      <c r="V56" s="194"/>
      <c r="W56" s="194"/>
      <c r="X56" s="194"/>
      <c r="Y56" s="195"/>
    </row>
    <row r="57" spans="1:52" s="33" customFormat="1" ht="16.2" x14ac:dyDescent="0.25">
      <c r="A57" s="196" t="s">
        <v>192</v>
      </c>
      <c r="B57" s="197" t="s">
        <v>178</v>
      </c>
      <c r="C57" s="197" t="s">
        <v>193</v>
      </c>
      <c r="D57" s="197" t="s">
        <v>15</v>
      </c>
      <c r="E57" s="197" t="s">
        <v>116</v>
      </c>
      <c r="F57" s="197" t="s">
        <v>194</v>
      </c>
      <c r="G57" s="197" t="s">
        <v>195</v>
      </c>
      <c r="H57" s="197" t="s">
        <v>196</v>
      </c>
      <c r="I57" s="197" t="s">
        <v>115</v>
      </c>
      <c r="J57" s="198" t="s">
        <v>101</v>
      </c>
      <c r="K57" s="197" t="s">
        <v>197</v>
      </c>
      <c r="L57" s="199" t="s">
        <v>198</v>
      </c>
      <c r="M57" s="199" t="s">
        <v>199</v>
      </c>
      <c r="N57" s="199" t="s">
        <v>200</v>
      </c>
      <c r="O57" s="199" t="s">
        <v>201</v>
      </c>
      <c r="P57" s="199" t="s">
        <v>23</v>
      </c>
      <c r="Q57" s="199" t="s">
        <v>202</v>
      </c>
      <c r="R57" s="199" t="s">
        <v>203</v>
      </c>
      <c r="S57" s="199" t="s">
        <v>204</v>
      </c>
      <c r="T57" s="199" t="s">
        <v>205</v>
      </c>
      <c r="U57" s="200" t="s">
        <v>206</v>
      </c>
      <c r="V57" s="200" t="s">
        <v>207</v>
      </c>
      <c r="W57" s="200" t="s">
        <v>208</v>
      </c>
      <c r="X57" s="200" t="s">
        <v>209</v>
      </c>
      <c r="Y57" s="200" t="s">
        <v>210</v>
      </c>
      <c r="Z57" s="201" t="s">
        <v>211</v>
      </c>
      <c r="AA57" s="201" t="s">
        <v>212</v>
      </c>
      <c r="AB57" s="201" t="s">
        <v>213</v>
      </c>
      <c r="AC57" s="202" t="s">
        <v>214</v>
      </c>
      <c r="AD57" s="202" t="s">
        <v>215</v>
      </c>
      <c r="AE57" s="202" t="s">
        <v>216</v>
      </c>
      <c r="AF57" s="202" t="s">
        <v>183</v>
      </c>
      <c r="AG57" s="202" t="s">
        <v>217</v>
      </c>
      <c r="AH57" s="202" t="s">
        <v>198</v>
      </c>
      <c r="AI57" s="202" t="s">
        <v>218</v>
      </c>
      <c r="AJ57" s="202" t="s">
        <v>219</v>
      </c>
      <c r="AK57" s="117" t="s">
        <v>223</v>
      </c>
      <c r="AL57" s="32" t="s">
        <v>127</v>
      </c>
      <c r="AM57" s="11"/>
      <c r="AN57" s="11"/>
    </row>
    <row r="58" spans="1:52" s="34" customFormat="1" x14ac:dyDescent="0.25">
      <c r="A58" s="203" t="s">
        <v>62</v>
      </c>
      <c r="B58" s="204" t="s">
        <v>58</v>
      </c>
      <c r="C58" s="205" t="s">
        <v>58</v>
      </c>
      <c r="D58" s="205" t="s">
        <v>220</v>
      </c>
      <c r="E58" s="205" t="s">
        <v>58</v>
      </c>
      <c r="F58" s="205" t="s">
        <v>58</v>
      </c>
      <c r="G58" s="206" t="s">
        <v>59</v>
      </c>
      <c r="H58" s="205" t="s">
        <v>60</v>
      </c>
      <c r="I58" s="205" t="s">
        <v>122</v>
      </c>
      <c r="J58" s="207"/>
      <c r="K58" s="205"/>
      <c r="L58" s="208" t="s">
        <v>60</v>
      </c>
      <c r="M58" s="208" t="s">
        <v>60</v>
      </c>
      <c r="N58" s="208"/>
      <c r="O58" s="208"/>
      <c r="P58" s="208"/>
      <c r="Q58" s="208"/>
      <c r="R58" s="208"/>
      <c r="S58" s="209"/>
      <c r="T58" s="209"/>
      <c r="U58" s="210"/>
      <c r="V58" s="210"/>
      <c r="W58" s="211"/>
      <c r="X58" s="210"/>
      <c r="Y58" s="210"/>
      <c r="Z58" s="210"/>
      <c r="AA58" s="210"/>
      <c r="AB58" s="210"/>
      <c r="AC58" s="12"/>
      <c r="AD58" s="12"/>
      <c r="AE58" s="12"/>
      <c r="AF58" s="12"/>
      <c r="AG58" s="12"/>
      <c r="AH58" s="12"/>
      <c r="AI58" s="12"/>
      <c r="AJ58" s="12"/>
      <c r="AK58" s="12"/>
      <c r="AL58" s="237"/>
      <c r="AM58" s="12"/>
      <c r="AN58" s="12"/>
      <c r="AO58" s="8"/>
      <c r="AP58" s="8"/>
      <c r="AQ58" s="8"/>
      <c r="AR58" s="8"/>
      <c r="AS58" s="8"/>
      <c r="AT58" s="8"/>
      <c r="AU58" s="8"/>
      <c r="AV58" s="8"/>
      <c r="AW58" s="8"/>
      <c r="AX58" s="8"/>
      <c r="AY58" s="8"/>
      <c r="AZ58" s="8"/>
    </row>
    <row r="59" spans="1:52" s="34" customFormat="1" ht="32.25" customHeight="1" thickBot="1" x14ac:dyDescent="0.3">
      <c r="A59" s="212" t="s">
        <v>123</v>
      </c>
      <c r="B59" s="213"/>
      <c r="C59" s="213"/>
      <c r="D59" s="213" t="s">
        <v>124</v>
      </c>
      <c r="E59" s="213"/>
      <c r="F59" s="213"/>
      <c r="G59" s="213" t="s">
        <v>40</v>
      </c>
      <c r="H59" s="213"/>
      <c r="I59" s="213"/>
      <c r="J59" s="35"/>
      <c r="K59" s="213"/>
      <c r="L59" s="214"/>
      <c r="M59" s="214"/>
      <c r="N59" s="214" t="s">
        <v>221</v>
      </c>
      <c r="O59" s="214"/>
      <c r="P59" s="214"/>
      <c r="Q59" s="215"/>
      <c r="R59" s="214"/>
      <c r="S59" s="214"/>
      <c r="T59" s="214"/>
      <c r="U59" s="216"/>
      <c r="V59" s="216"/>
      <c r="W59" s="216"/>
      <c r="X59" s="216"/>
      <c r="Y59" s="216"/>
      <c r="Z59" s="216"/>
      <c r="AA59" s="216"/>
      <c r="AB59" s="216"/>
      <c r="AC59" s="217" t="s">
        <v>40</v>
      </c>
      <c r="AD59" s="218"/>
      <c r="AE59" s="218"/>
      <c r="AF59" s="217"/>
      <c r="AG59" s="217"/>
      <c r="AH59" s="217"/>
      <c r="AI59" s="217" t="s">
        <v>40</v>
      </c>
      <c r="AJ59" s="217"/>
      <c r="AK59" s="238"/>
      <c r="AL59" s="239"/>
      <c r="AM59" s="12"/>
      <c r="AN59" s="12"/>
      <c r="AO59" s="8"/>
      <c r="AP59" s="8"/>
      <c r="AQ59" s="8"/>
      <c r="AR59" s="8"/>
      <c r="AS59" s="8"/>
      <c r="AT59" s="8"/>
      <c r="AU59" s="8"/>
      <c r="AV59" s="8"/>
      <c r="AW59" s="8"/>
      <c r="AX59" s="8"/>
      <c r="AY59" s="8"/>
      <c r="AZ59" s="8"/>
    </row>
    <row r="60" spans="1:52" s="39" customFormat="1" x14ac:dyDescent="0.25">
      <c r="A60" s="219" t="s">
        <v>222</v>
      </c>
      <c r="B60" s="220"/>
      <c r="C60" s="220"/>
      <c r="D60" s="220"/>
      <c r="E60" s="220"/>
      <c r="F60" s="220"/>
      <c r="G60" s="220"/>
      <c r="H60" s="220"/>
      <c r="I60" s="220"/>
      <c r="J60" s="221"/>
      <c r="K60" s="220"/>
      <c r="L60" s="222">
        <f>(1-$P$54)*O61*R61+C53</f>
        <v>2376.0216774909909</v>
      </c>
      <c r="M60" s="222">
        <f>M61*(B61-C61+N61/2)/$S$54</f>
        <v>5.1941244583715536</v>
      </c>
      <c r="N60" s="41">
        <f>L60/M60</f>
        <v>457.44411720082542</v>
      </c>
      <c r="O60" s="223"/>
      <c r="P60" s="222">
        <f>((1-$P$54)*O61*R61+C53)/(M61*(B61-C61+N61/2)/$S$54)</f>
        <v>457.44411720082542</v>
      </c>
      <c r="Q60" s="220"/>
      <c r="R60" s="220"/>
      <c r="S60" s="220"/>
      <c r="T60" s="220"/>
      <c r="U60" s="220"/>
      <c r="V60" s="224"/>
      <c r="W60" s="224"/>
      <c r="X60" s="224"/>
      <c r="Y60" s="224"/>
      <c r="Z60" s="224"/>
      <c r="AA60" s="220"/>
      <c r="AB60" s="220"/>
      <c r="AC60" s="220"/>
      <c r="AD60" s="220"/>
      <c r="AE60" s="220"/>
      <c r="AF60" s="220"/>
      <c r="AG60" s="220"/>
      <c r="AH60" s="220"/>
      <c r="AI60" s="220"/>
      <c r="AJ60" s="220"/>
      <c r="AK60" s="12"/>
      <c r="AL60" s="240"/>
      <c r="AM60" s="38"/>
      <c r="AN60" s="12"/>
      <c r="AO60" s="8"/>
      <c r="AP60" s="8"/>
      <c r="AQ60" s="8"/>
      <c r="AR60" s="8"/>
      <c r="AS60" s="8"/>
      <c r="AT60" s="8"/>
      <c r="AU60" s="8"/>
      <c r="AV60" s="8"/>
      <c r="AW60" s="8"/>
      <c r="AX60" s="8"/>
      <c r="AY60" s="8"/>
      <c r="AZ60" s="8"/>
    </row>
    <row r="61" spans="1:52" x14ac:dyDescent="0.25">
      <c r="A61" s="40"/>
      <c r="B61" s="225">
        <f>(D61/$C$55/$S$54/$S$53)^2+C61</f>
        <v>742.38517502182799</v>
      </c>
      <c r="C61" s="225">
        <f>B6</f>
        <v>740</v>
      </c>
      <c r="D61" s="225">
        <f>$L$51</f>
        <v>2.6</v>
      </c>
      <c r="E61" s="41">
        <f>K10</f>
        <v>16</v>
      </c>
      <c r="F61" s="225">
        <f>E61</f>
        <v>16</v>
      </c>
      <c r="G61" s="41">
        <f>F61*$S$53*$C$55*(B61-C61+N61)^1.5</f>
        <v>86.897131283814673</v>
      </c>
      <c r="H61" s="25">
        <v>0.08</v>
      </c>
      <c r="I61" s="226">
        <f>(B61-C61)*B$19</f>
        <v>1.9081400174623924</v>
      </c>
      <c r="J61" s="227">
        <f>B$7</f>
        <v>80</v>
      </c>
      <c r="K61" s="225">
        <v>1</v>
      </c>
      <c r="L61" s="225">
        <f>D61+H61*K61</f>
        <v>2.68</v>
      </c>
      <c r="M61" s="41">
        <f t="shared" ref="M61:M124" si="4">(D61+L61)/2</f>
        <v>2.64</v>
      </c>
      <c r="N61" s="41">
        <f>2*($P$53*M61/$S$52/$S$51)^2-(B61-C61)*2</f>
        <v>0.14832842071102093</v>
      </c>
      <c r="O61" s="41">
        <f>wh(B61,$F$51,$F$52,$F$53)</f>
        <v>7.3151680994228148</v>
      </c>
      <c r="P61" s="228">
        <f>$C$54*$L$55*$L$55*M61*M61/(($B$19*(B61-C61))^0.333)*1000</f>
        <v>34.424745400577798</v>
      </c>
      <c r="Q61" s="41">
        <f>M61/$S$54*(B61-C61+N61/2)*E61-$C$53</f>
        <v>3.105991333944857</v>
      </c>
      <c r="R61" s="41">
        <f>rate1(1,$L$52,$L$51,$L$54,L61,$L$53,$L$50,P61)</f>
        <v>313.87134872159027</v>
      </c>
      <c r="S61" s="41">
        <f t="shared" ref="S61:S124" si="5">Q61/O61/R61</f>
        <v>1.3527709099589039E-3</v>
      </c>
      <c r="T61" s="41">
        <f t="shared" ref="T61:T124" si="6">N61/(1-S61)</f>
        <v>0.14852934689076996</v>
      </c>
      <c r="U61" s="41">
        <f>L61-K61*H61</f>
        <v>2.6</v>
      </c>
      <c r="V61" s="41">
        <f t="shared" ref="V61:V124" si="7">(D61+U61)/2</f>
        <v>2.6</v>
      </c>
      <c r="W61" s="41">
        <f>2*($P$53*V61/$S$52/$S$51)^2-(B61-C61)*2</f>
        <v>4.0673135563107365E-4</v>
      </c>
      <c r="X61" s="41">
        <f>V61/$S$54*(B61-C61+W61/2)*F61-$C$53</f>
        <v>-0.61460726380677499</v>
      </c>
      <c r="Y61" s="41">
        <f>$C$54*$L$55*$L$55*V61*V61/(($B$19*(B61-C61))^0.333)*1000</f>
        <v>33.389474131643986</v>
      </c>
      <c r="Z61" s="41">
        <f>rate1(1,$L$52,$L$51,$L$54,U61,$L$53,$L$50,Y61)</f>
        <v>253.46350359299683</v>
      </c>
      <c r="AA61" s="41">
        <f t="shared" ref="AA61:AA124" si="8">X61/O61/Z61</f>
        <v>-3.3148046886443609E-4</v>
      </c>
      <c r="AB61" s="41">
        <v>-1.0000000000000001E-5</v>
      </c>
      <c r="AC61" s="41">
        <f>delta_z(N61,S61,H61,AE61,AB61)</f>
        <v>0.14852934689076996</v>
      </c>
      <c r="AD61" s="41">
        <f t="shared" ref="AD61:AD124" si="9">H61/AC61*K61</f>
        <v>0.53861409663931825</v>
      </c>
      <c r="AE61" s="229">
        <f>AD61</f>
        <v>0.53861409663931825</v>
      </c>
      <c r="AF61" s="41">
        <f t="shared" ref="AF61:AF124" si="10">B61-(AC61-N61)</f>
        <v>742.3849740956482</v>
      </c>
      <c r="AG61" s="41">
        <f t="shared" ref="AG61:AG124" si="11">C61-AC61</f>
        <v>739.85147065310923</v>
      </c>
      <c r="AH61" s="41">
        <f>$S$54*$S$53*$C$55*SQRT(AF61-AG61)</f>
        <v>2.6796246918632058</v>
      </c>
      <c r="AI61" s="41">
        <f t="shared" ref="AI61:AI124" si="12">AC61/R61*1000000</f>
        <v>473.21728311849921</v>
      </c>
      <c r="AJ61" s="229">
        <f>AI61/3600</f>
        <v>0.13144924531069421</v>
      </c>
      <c r="AL61" s="42"/>
      <c r="AZ61" s="8"/>
    </row>
    <row r="62" spans="1:52" x14ac:dyDescent="0.25">
      <c r="A62" s="40"/>
      <c r="B62" s="41">
        <f t="shared" ref="B62:D92" si="13">AF61</f>
        <v>742.3849740956482</v>
      </c>
      <c r="C62" s="41">
        <f t="shared" si="13"/>
        <v>739.85147065310923</v>
      </c>
      <c r="D62" s="41">
        <f t="shared" si="13"/>
        <v>2.6796246918632058</v>
      </c>
      <c r="E62" s="41">
        <f>CalBreachWidth(C62,B62,I62,E61)</f>
        <v>16</v>
      </c>
      <c r="F62" s="41">
        <f t="shared" ref="F62:F125" si="14">(E62+E61)/2</f>
        <v>16</v>
      </c>
      <c r="G62" s="41">
        <f t="shared" ref="G62:G125" si="15">F62*$S$53*$C$55*(B62-C62+N62)^1.5</f>
        <v>94.878482452899718</v>
      </c>
      <c r="H62" s="25">
        <f t="shared" ref="H62:H94" si="16">dv(S61)</f>
        <v>0.08</v>
      </c>
      <c r="I62" s="226">
        <f t="shared" ref="I62:I125" si="17">(B62-C62)*B$19</f>
        <v>2.0268027540311779</v>
      </c>
      <c r="J62" s="227">
        <f>B$7</f>
        <v>80</v>
      </c>
      <c r="K62" s="41">
        <f t="shared" ref="K62:K125" si="18">IF((1-S61-0.015)&gt;0,1,-1)</f>
        <v>1</v>
      </c>
      <c r="L62" s="215">
        <f t="shared" ref="L62:L125" si="19">D62+K62*H62</f>
        <v>2.7596246918632059</v>
      </c>
      <c r="M62" s="215">
        <f t="shared" si="4"/>
        <v>2.7196246918632059</v>
      </c>
      <c r="N62" s="41">
        <f t="shared" ref="N62:N125" si="20">2*($P$53*M62/$S$52/$S$51)^2-(B62-C62)*2</f>
        <v>0.15284921778699001</v>
      </c>
      <c r="O62" s="41">
        <f t="shared" ref="O62:O125" si="21">wh(B62,$F$51,$F$52,$F$53)</f>
        <v>7.3151427291438473</v>
      </c>
      <c r="P62" s="228">
        <f t="shared" ref="P62:P125" si="22">$C$54*$L$55*$L$55*M62*M62/(($B$19*(B62-C62))^0.333)*1000</f>
        <v>35.80600099257088</v>
      </c>
      <c r="Q62" s="41">
        <f t="shared" ref="Q62:Q125" si="23">M62/$S$54*(B62-C62+N62/2)*E62-$C$53</f>
        <v>10.854717090075667</v>
      </c>
      <c r="R62" s="41">
        <f t="shared" ref="R62:R125" si="24">rate1(1,$L$52,$L$51,$L$54,L62,$L$53,$L$50,P62)</f>
        <v>385.41712967055707</v>
      </c>
      <c r="S62" s="215">
        <f t="shared" si="5"/>
        <v>3.8500351254214795E-3</v>
      </c>
      <c r="T62" s="215">
        <f t="shared" si="6"/>
        <v>0.15343996704977517</v>
      </c>
      <c r="U62" s="230">
        <f t="shared" ref="U62:U125" si="25">D62-K62*H62</f>
        <v>2.5996246918632058</v>
      </c>
      <c r="V62" s="230">
        <f t="shared" si="7"/>
        <v>2.6396246918632058</v>
      </c>
      <c r="W62" s="41">
        <f t="shared" ref="W62:W125" si="26">2*($P$53*V62/$S$52/$S$51)^2-(B62-C62)*2</f>
        <v>-0.14972682134188098</v>
      </c>
      <c r="X62" s="41">
        <f t="shared" ref="X62:X125" si="27">V62/$S$54*(B62-C62+W62/2)*F62-$C$53</f>
        <v>3.0705527874841181</v>
      </c>
      <c r="Y62" s="41">
        <f t="shared" ref="Y62:Y125" si="28">$C$54*$L$55*$L$55*V62*V62/(($B$19*(B62-C62))^0.333)*1000</f>
        <v>33.730457578370206</v>
      </c>
      <c r="Z62" s="41">
        <f t="shared" ref="Z62:Z125" si="29">rate1(1,$L$52,$L$51,$L$54,U62,$L$53,$L$50,Y62)</f>
        <v>274.07022205174758</v>
      </c>
      <c r="AA62" s="230">
        <f t="shared" si="8"/>
        <v>1.5315525828290273E-3</v>
      </c>
      <c r="AB62" s="230">
        <f t="shared" ref="AB62:AB125" si="30">W62/(1-AA62)</f>
        <v>-0.14995648758775798</v>
      </c>
      <c r="AC62" s="41">
        <f t="shared" ref="AC62:AC93" si="31">delta_z(N62,S62,H62,AE61,AB62)</f>
        <v>0.15343996704977517</v>
      </c>
      <c r="AD62" s="41">
        <f t="shared" si="9"/>
        <v>0.5213765457473567</v>
      </c>
      <c r="AE62" s="41">
        <f t="shared" ref="AE62:AE125" si="32">(AD62-AD61)/(AC62+AC61)*2</f>
        <v>-0.11416756667768869</v>
      </c>
      <c r="AF62" s="41">
        <f t="shared" si="10"/>
        <v>742.38438334638545</v>
      </c>
      <c r="AG62" s="41">
        <f t="shared" si="11"/>
        <v>739.6980306860595</v>
      </c>
      <c r="AH62" s="41">
        <f t="shared" ref="AH62:AH125" si="33">$S$54*$S$53*$C$55*SQRT(AF62-AG62)</f>
        <v>2.7592734011078641</v>
      </c>
      <c r="AI62" s="41">
        <f t="shared" si="12"/>
        <v>398.1140308447915</v>
      </c>
      <c r="AJ62" s="41">
        <f t="shared" ref="AJ62:AJ125" si="34">AJ61+AI62/3600</f>
        <v>0.24203647610091406</v>
      </c>
      <c r="AK62" s="8">
        <f>AK61+AI62*G61/1000000</f>
        <v>3.459496720424849E-2</v>
      </c>
      <c r="AL62" s="42">
        <f>AL61+AI62*J62/1000000</f>
        <v>3.184912246758332E-2</v>
      </c>
      <c r="AZ62" s="8"/>
    </row>
    <row r="63" spans="1:52" x14ac:dyDescent="0.25">
      <c r="A63" s="40"/>
      <c r="B63" s="41">
        <f t="shared" si="13"/>
        <v>742.38438334638545</v>
      </c>
      <c r="C63" s="41">
        <f t="shared" si="13"/>
        <v>739.6980306860595</v>
      </c>
      <c r="D63" s="41">
        <f t="shared" si="13"/>
        <v>2.7592734011078641</v>
      </c>
      <c r="E63" s="41">
        <f t="shared" ref="E63:E126" si="35">CalBreachWidth(C63,B63,I63,E62)</f>
        <v>16</v>
      </c>
      <c r="F63" s="41">
        <f t="shared" si="14"/>
        <v>16</v>
      </c>
      <c r="G63" s="41">
        <f t="shared" si="15"/>
        <v>103.33668845788964</v>
      </c>
      <c r="H63" s="25">
        <f t="shared" si="16"/>
        <v>0.08</v>
      </c>
      <c r="I63" s="226">
        <f t="shared" si="17"/>
        <v>2.1490821282607615</v>
      </c>
      <c r="J63" s="227">
        <f>IF(H63&gt;0, $B$7,"")</f>
        <v>80</v>
      </c>
      <c r="K63" s="41">
        <f t="shared" si="18"/>
        <v>1</v>
      </c>
      <c r="L63" s="215">
        <f t="shared" si="19"/>
        <v>2.8392734011078642</v>
      </c>
      <c r="M63" s="215">
        <f t="shared" si="4"/>
        <v>2.7992734011078642</v>
      </c>
      <c r="N63" s="41">
        <f t="shared" si="20"/>
        <v>0.15737214175985148</v>
      </c>
      <c r="O63" s="41">
        <f t="shared" si="21"/>
        <v>7.3150681372036033</v>
      </c>
      <c r="P63" s="228">
        <f t="shared" si="22"/>
        <v>37.201159365964941</v>
      </c>
      <c r="Q63" s="41">
        <f t="shared" si="23"/>
        <v>19.073271978209917</v>
      </c>
      <c r="R63" s="41">
        <f t="shared" si="24"/>
        <v>448.92737133319218</v>
      </c>
      <c r="S63" s="215">
        <f t="shared" si="5"/>
        <v>5.8080552708905525E-3</v>
      </c>
      <c r="T63" s="215">
        <f t="shared" si="6"/>
        <v>0.15829150758481669</v>
      </c>
      <c r="U63" s="230">
        <f t="shared" si="25"/>
        <v>2.679273401107864</v>
      </c>
      <c r="V63" s="230">
        <f t="shared" si="7"/>
        <v>2.7192734011078641</v>
      </c>
      <c r="W63" s="41">
        <f t="shared" si="26"/>
        <v>-0.15419761616783223</v>
      </c>
      <c r="X63" s="41">
        <f t="shared" si="27"/>
        <v>10.819514843391943</v>
      </c>
      <c r="Y63" s="41">
        <f t="shared" si="28"/>
        <v>35.105211108989174</v>
      </c>
      <c r="Z63" s="41">
        <f t="shared" si="29"/>
        <v>350.30427435566543</v>
      </c>
      <c r="AA63" s="230">
        <f t="shared" si="8"/>
        <v>4.2222502952991197E-3</v>
      </c>
      <c r="AB63" s="230">
        <f t="shared" si="30"/>
        <v>-0.15485143769637325</v>
      </c>
      <c r="AC63" s="41">
        <f t="shared" si="31"/>
        <v>0.15829150758481669</v>
      </c>
      <c r="AD63" s="41">
        <f t="shared" si="9"/>
        <v>0.50539666480296752</v>
      </c>
      <c r="AE63" s="41">
        <f t="shared" si="32"/>
        <v>-0.10252337184187525</v>
      </c>
      <c r="AF63" s="41">
        <f t="shared" si="10"/>
        <v>742.38346398056046</v>
      </c>
      <c r="AG63" s="41">
        <f t="shared" si="11"/>
        <v>739.53973917847463</v>
      </c>
      <c r="AH63" s="41">
        <f t="shared" si="33"/>
        <v>2.8389451679189168</v>
      </c>
      <c r="AI63" s="41">
        <f t="shared" si="12"/>
        <v>352.59936838944338</v>
      </c>
      <c r="AJ63" s="41">
        <f t="shared" si="34"/>
        <v>0.33998074509798165</v>
      </c>
      <c r="AK63" s="8">
        <f t="shared" ref="AK63:AK126" si="36">AK62+AI63*G62/1000000</f>
        <v>6.8049060190889826E-2</v>
      </c>
      <c r="AL63" s="42">
        <f t="shared" ref="AL63:AL126" si="37">AL62+AI63*J63/1000000</f>
        <v>6.0057071938738792E-2</v>
      </c>
      <c r="AZ63" s="8"/>
    </row>
    <row r="64" spans="1:52" x14ac:dyDescent="0.25">
      <c r="A64" s="40"/>
      <c r="B64" s="41">
        <f t="shared" si="13"/>
        <v>742.38346398056046</v>
      </c>
      <c r="C64" s="41">
        <f t="shared" si="13"/>
        <v>739.53973917847463</v>
      </c>
      <c r="D64" s="41">
        <f t="shared" si="13"/>
        <v>2.8389451679189168</v>
      </c>
      <c r="E64" s="41">
        <f t="shared" si="35"/>
        <v>16</v>
      </c>
      <c r="F64" s="41">
        <f t="shared" si="14"/>
        <v>16</v>
      </c>
      <c r="G64" s="41">
        <f t="shared" si="15"/>
        <v>112.28576957843596</v>
      </c>
      <c r="H64" s="25">
        <f t="shared" si="16"/>
        <v>0.08</v>
      </c>
      <c r="I64" s="226">
        <f t="shared" si="17"/>
        <v>2.2749798416686646</v>
      </c>
      <c r="J64" s="227">
        <f t="shared" ref="J64:J127" si="38">IF(H64&gt;0, $B$7,"")</f>
        <v>80</v>
      </c>
      <c r="K64" s="41">
        <f t="shared" si="18"/>
        <v>1</v>
      </c>
      <c r="L64" s="215">
        <f t="shared" si="19"/>
        <v>2.9189451679189169</v>
      </c>
      <c r="M64" s="215">
        <f t="shared" si="4"/>
        <v>2.8789451679189169</v>
      </c>
      <c r="N64" s="41">
        <f t="shared" si="20"/>
        <v>0.16189713880246437</v>
      </c>
      <c r="O64" s="41">
        <f t="shared" si="21"/>
        <v>7.3149520519454354</v>
      </c>
      <c r="P64" s="228">
        <f t="shared" si="22"/>
        <v>38.60996027816055</v>
      </c>
      <c r="Q64" s="41">
        <f t="shared" si="23"/>
        <v>27.775670663472738</v>
      </c>
      <c r="R64" s="41">
        <f t="shared" si="24"/>
        <v>505.66596219815966</v>
      </c>
      <c r="S64" s="215">
        <f t="shared" si="5"/>
        <v>7.509125267490431E-3</v>
      </c>
      <c r="T64" s="215">
        <f t="shared" si="6"/>
        <v>0.16312204265464703</v>
      </c>
      <c r="U64" s="230">
        <f t="shared" si="25"/>
        <v>2.7589451679189168</v>
      </c>
      <c r="V64" s="230">
        <f t="shared" si="7"/>
        <v>2.7989451679189168</v>
      </c>
      <c r="W64" s="41">
        <f t="shared" si="26"/>
        <v>-0.15866894152263988</v>
      </c>
      <c r="X64" s="41">
        <f t="shared" si="27"/>
        <v>19.03842508931217</v>
      </c>
      <c r="Y64" s="41">
        <f t="shared" si="28"/>
        <v>36.493990038792461</v>
      </c>
      <c r="Z64" s="41">
        <f t="shared" si="29"/>
        <v>417.73295369680005</v>
      </c>
      <c r="AA64" s="230">
        <f t="shared" si="8"/>
        <v>6.2304698527080636E-3</v>
      </c>
      <c r="AB64" s="230">
        <f t="shared" si="30"/>
        <v>-0.15966372152617991</v>
      </c>
      <c r="AC64" s="41">
        <f t="shared" si="31"/>
        <v>0.16312204265464703</v>
      </c>
      <c r="AD64" s="41">
        <f t="shared" si="9"/>
        <v>0.49043034710748185</v>
      </c>
      <c r="AE64" s="41">
        <f t="shared" si="32"/>
        <v>-9.3128106667159954E-2</v>
      </c>
      <c r="AF64" s="41">
        <f t="shared" si="10"/>
        <v>742.38223907670829</v>
      </c>
      <c r="AG64" s="41">
        <f t="shared" si="11"/>
        <v>739.37661713581997</v>
      </c>
      <c r="AH64" s="41">
        <f t="shared" si="33"/>
        <v>2.9186391105871192</v>
      </c>
      <c r="AI64" s="41">
        <f t="shared" si="12"/>
        <v>322.58853640364862</v>
      </c>
      <c r="AJ64" s="41">
        <f t="shared" si="34"/>
        <v>0.42958867187677297</v>
      </c>
      <c r="AK64" s="8">
        <f t="shared" si="36"/>
        <v>0.10138429127732025</v>
      </c>
      <c r="AL64" s="42">
        <f t="shared" si="37"/>
        <v>8.5864154851030675E-2</v>
      </c>
      <c r="AZ64" s="8"/>
    </row>
    <row r="65" spans="1:52" x14ac:dyDescent="0.25">
      <c r="A65" s="40"/>
      <c r="B65" s="41">
        <f t="shared" si="13"/>
        <v>742.38223907670829</v>
      </c>
      <c r="C65" s="41">
        <f t="shared" si="13"/>
        <v>739.37661713581997</v>
      </c>
      <c r="D65" s="41">
        <f t="shared" si="13"/>
        <v>2.9186391105871192</v>
      </c>
      <c r="E65" s="41">
        <f t="shared" si="35"/>
        <v>16</v>
      </c>
      <c r="F65" s="41">
        <f t="shared" si="14"/>
        <v>16</v>
      </c>
      <c r="G65" s="41">
        <f t="shared" si="15"/>
        <v>121.73975599199656</v>
      </c>
      <c r="H65" s="25">
        <f t="shared" si="16"/>
        <v>0.08</v>
      </c>
      <c r="I65" s="226">
        <f t="shared" si="17"/>
        <v>2.4044975527106547</v>
      </c>
      <c r="J65" s="227">
        <f t="shared" si="38"/>
        <v>80</v>
      </c>
      <c r="K65" s="41">
        <f t="shared" si="18"/>
        <v>1</v>
      </c>
      <c r="L65" s="215">
        <f t="shared" si="19"/>
        <v>2.9986391105871193</v>
      </c>
      <c r="M65" s="215">
        <f t="shared" si="4"/>
        <v>2.9586391105871193</v>
      </c>
      <c r="N65" s="41">
        <f t="shared" si="20"/>
        <v>0.16642415948820766</v>
      </c>
      <c r="O65" s="41">
        <f t="shared" si="21"/>
        <v>7.3147973874190333</v>
      </c>
      <c r="P65" s="228">
        <f t="shared" si="22"/>
        <v>40.032155585021982</v>
      </c>
      <c r="Q65" s="41">
        <f t="shared" si="23"/>
        <v>36.975937786305835</v>
      </c>
      <c r="R65" s="41">
        <f t="shared" si="24"/>
        <v>556.6458940533679</v>
      </c>
      <c r="S65" s="215">
        <f t="shared" si="5"/>
        <v>9.0810880446562624E-3</v>
      </c>
      <c r="T65" s="215">
        <f t="shared" si="6"/>
        <v>0.16794932206895619</v>
      </c>
      <c r="U65" s="230">
        <f t="shared" si="25"/>
        <v>2.8386391105871192</v>
      </c>
      <c r="V65" s="230">
        <f t="shared" si="7"/>
        <v>2.8786391105871192</v>
      </c>
      <c r="W65" s="41">
        <f t="shared" si="26"/>
        <v>-0.16314074727267602</v>
      </c>
      <c r="X65" s="41">
        <f t="shared" si="27"/>
        <v>27.741301796673426</v>
      </c>
      <c r="Y65" s="41">
        <f t="shared" si="28"/>
        <v>37.896528753879764</v>
      </c>
      <c r="Z65" s="41">
        <f t="shared" si="29"/>
        <v>477.77917097672537</v>
      </c>
      <c r="AA65" s="230">
        <f t="shared" si="8"/>
        <v>7.937748295696552E-3</v>
      </c>
      <c r="AB65" s="230">
        <f t="shared" si="30"/>
        <v>-0.16444607885484003</v>
      </c>
      <c r="AC65" s="41">
        <f t="shared" si="31"/>
        <v>0.16794932206895619</v>
      </c>
      <c r="AD65" s="41">
        <f t="shared" si="9"/>
        <v>0.47633416446393168</v>
      </c>
      <c r="AE65" s="41">
        <f t="shared" si="32"/>
        <v>-8.5154949328332563E-2</v>
      </c>
      <c r="AF65" s="41">
        <f t="shared" si="10"/>
        <v>742.38071391412757</v>
      </c>
      <c r="AG65" s="41">
        <f t="shared" si="11"/>
        <v>739.20866781375105</v>
      </c>
      <c r="AH65" s="41">
        <f t="shared" si="33"/>
        <v>2.9983544172784136</v>
      </c>
      <c r="AI65" s="41">
        <f t="shared" si="12"/>
        <v>301.71662786549575</v>
      </c>
      <c r="AJ65" s="41">
        <f t="shared" si="34"/>
        <v>0.51339884628385513</v>
      </c>
      <c r="AK65" s="8">
        <f t="shared" si="36"/>
        <v>0.135262775031808</v>
      </c>
      <c r="AL65" s="42">
        <f t="shared" si="37"/>
        <v>0.11000148508027033</v>
      </c>
      <c r="AZ65" s="8"/>
    </row>
    <row r="66" spans="1:52" x14ac:dyDescent="0.25">
      <c r="A66" s="40"/>
      <c r="B66" s="41">
        <f t="shared" si="13"/>
        <v>742.38071391412757</v>
      </c>
      <c r="C66" s="41">
        <f t="shared" si="13"/>
        <v>739.20866781375105</v>
      </c>
      <c r="D66" s="41">
        <f t="shared" si="13"/>
        <v>2.9983544172784136</v>
      </c>
      <c r="E66" s="41">
        <f t="shared" si="35"/>
        <v>16</v>
      </c>
      <c r="F66" s="41">
        <f t="shared" si="14"/>
        <v>16</v>
      </c>
      <c r="G66" s="41">
        <f t="shared" si="15"/>
        <v>131.71268762913016</v>
      </c>
      <c r="H66" s="25">
        <f t="shared" si="16"/>
        <v>0.08</v>
      </c>
      <c r="I66" s="226">
        <f t="shared" si="17"/>
        <v>2.5376368803012159</v>
      </c>
      <c r="J66" s="227">
        <f t="shared" si="38"/>
        <v>80</v>
      </c>
      <c r="K66" s="41">
        <f t="shared" si="18"/>
        <v>1</v>
      </c>
      <c r="L66" s="215">
        <f t="shared" si="19"/>
        <v>3.0783544172784136</v>
      </c>
      <c r="M66" s="215">
        <f t="shared" si="4"/>
        <v>3.0383544172784136</v>
      </c>
      <c r="N66" s="41">
        <f t="shared" si="20"/>
        <v>0.170953158327106</v>
      </c>
      <c r="O66" s="41">
        <f t="shared" si="21"/>
        <v>7.314604810223841</v>
      </c>
      <c r="P66" s="228">
        <f t="shared" si="22"/>
        <v>41.467508369552519</v>
      </c>
      <c r="Q66" s="41">
        <f t="shared" si="23"/>
        <v>46.688107811394488</v>
      </c>
      <c r="R66" s="41">
        <f t="shared" si="24"/>
        <v>602.68850404495436</v>
      </c>
      <c r="S66" s="215">
        <f t="shared" si="5"/>
        <v>1.0590647134888458E-2</v>
      </c>
      <c r="T66" s="215">
        <f t="shared" si="6"/>
        <v>0.17278304256177013</v>
      </c>
      <c r="U66" s="230">
        <f t="shared" si="25"/>
        <v>2.9183544172784135</v>
      </c>
      <c r="V66" s="230">
        <f t="shared" si="7"/>
        <v>2.9583544172784135</v>
      </c>
      <c r="W66" s="41">
        <f t="shared" si="26"/>
        <v>-0.16761298723779383</v>
      </c>
      <c r="X66" s="41">
        <f t="shared" si="27"/>
        <v>36.942173212999222</v>
      </c>
      <c r="Y66" s="41">
        <f t="shared" si="28"/>
        <v>39.31257410569625</v>
      </c>
      <c r="Z66" s="41">
        <f t="shared" si="29"/>
        <v>531.57597035924789</v>
      </c>
      <c r="AA66" s="230">
        <f t="shared" si="8"/>
        <v>9.5009324948441103E-3</v>
      </c>
      <c r="AB66" s="230">
        <f t="shared" si="30"/>
        <v>-0.16922074208507151</v>
      </c>
      <c r="AC66" s="41">
        <f t="shared" si="31"/>
        <v>0.17278304256177013</v>
      </c>
      <c r="AD66" s="41">
        <f t="shared" si="9"/>
        <v>0.46300839951582584</v>
      </c>
      <c r="AE66" s="41">
        <f t="shared" si="32"/>
        <v>-7.8218369203335442E-2</v>
      </c>
      <c r="AF66" s="41">
        <f t="shared" si="10"/>
        <v>742.3788840298929</v>
      </c>
      <c r="AG66" s="41">
        <f t="shared" si="11"/>
        <v>739.03588477118933</v>
      </c>
      <c r="AH66" s="41">
        <f t="shared" si="33"/>
        <v>3.0780903388581868</v>
      </c>
      <c r="AI66" s="41">
        <f t="shared" si="12"/>
        <v>286.6871383843125</v>
      </c>
      <c r="AJ66" s="41">
        <f t="shared" si="34"/>
        <v>0.5930341625017197</v>
      </c>
      <c r="AK66" s="8">
        <f t="shared" si="36"/>
        <v>0.17016399730475795</v>
      </c>
      <c r="AL66" s="42">
        <f t="shared" si="37"/>
        <v>0.13293645615101532</v>
      </c>
      <c r="AZ66" s="8"/>
    </row>
    <row r="67" spans="1:52" x14ac:dyDescent="0.25">
      <c r="A67" s="40"/>
      <c r="B67" s="41">
        <f t="shared" si="13"/>
        <v>742.3788840298929</v>
      </c>
      <c r="C67" s="41">
        <f t="shared" si="13"/>
        <v>739.03588477118933</v>
      </c>
      <c r="D67" s="41">
        <f t="shared" si="13"/>
        <v>3.0780903388581868</v>
      </c>
      <c r="E67" s="41">
        <f t="shared" si="35"/>
        <v>16</v>
      </c>
      <c r="F67" s="41">
        <f t="shared" si="14"/>
        <v>16</v>
      </c>
      <c r="G67" s="41">
        <f t="shared" si="15"/>
        <v>142.21861404036747</v>
      </c>
      <c r="H67" s="25">
        <f t="shared" si="16"/>
        <v>0.08</v>
      </c>
      <c r="I67" s="226">
        <f t="shared" si="17"/>
        <v>2.6743994069628574</v>
      </c>
      <c r="J67" s="227">
        <f t="shared" si="38"/>
        <v>80</v>
      </c>
      <c r="K67" s="41">
        <f>IF((1-S66-0.015)&gt;0,1,-1)</f>
        <v>1</v>
      </c>
      <c r="L67" s="215">
        <f t="shared" si="19"/>
        <v>3.1580903388581869</v>
      </c>
      <c r="M67" s="215">
        <f t="shared" si="4"/>
        <v>3.1180903388581869</v>
      </c>
      <c r="N67" s="41">
        <f t="shared" si="20"/>
        <v>0.17548409336134618</v>
      </c>
      <c r="O67" s="41">
        <f t="shared" si="21"/>
        <v>7.3143737568411442</v>
      </c>
      <c r="P67" s="228">
        <f t="shared" si="22"/>
        <v>42.915792154451779</v>
      </c>
      <c r="Q67" s="41">
        <f t="shared" si="23"/>
        <v>56.926224888836316</v>
      </c>
      <c r="R67" s="41">
        <f t="shared" si="24"/>
        <v>644.46669456545453</v>
      </c>
      <c r="S67" s="215">
        <f t="shared" si="5"/>
        <v>1.2076324025264632E-2</v>
      </c>
      <c r="T67" s="215">
        <f t="shared" si="6"/>
        <v>0.17762920115079206</v>
      </c>
      <c r="U67" s="230">
        <f t="shared" si="25"/>
        <v>2.9980903388581868</v>
      </c>
      <c r="V67" s="230">
        <f t="shared" si="7"/>
        <v>3.0380903388581868</v>
      </c>
      <c r="W67" s="41">
        <f t="shared" si="26"/>
        <v>-0.17208561878553041</v>
      </c>
      <c r="X67" s="41">
        <f t="shared" si="27"/>
        <v>46.655077410982713</v>
      </c>
      <c r="Y67" s="41">
        <f t="shared" si="28"/>
        <v>40.741884506231806</v>
      </c>
      <c r="Z67" s="41">
        <f t="shared" si="29"/>
        <v>580.03668583580372</v>
      </c>
      <c r="AA67" s="230">
        <f t="shared" si="8"/>
        <v>1.0996799412067902E-2</v>
      </c>
      <c r="AB67" s="230">
        <f t="shared" si="30"/>
        <v>-0.17399905145224079</v>
      </c>
      <c r="AC67" s="41">
        <f t="shared" si="31"/>
        <v>0.17762920115079206</v>
      </c>
      <c r="AD67" s="41">
        <f t="shared" si="9"/>
        <v>0.45037639916021927</v>
      </c>
      <c r="AE67" s="41">
        <f t="shared" si="32"/>
        <v>-7.2097939397165661E-2</v>
      </c>
      <c r="AF67" s="41">
        <f t="shared" si="10"/>
        <v>742.37673892210341</v>
      </c>
      <c r="AG67" s="41">
        <f t="shared" si="11"/>
        <v>738.85825557003852</v>
      </c>
      <c r="AH67" s="41">
        <f t="shared" si="33"/>
        <v>3.1578461826124529</v>
      </c>
      <c r="AI67" s="41">
        <f t="shared" si="12"/>
        <v>275.62200288808151</v>
      </c>
      <c r="AJ67" s="41">
        <f t="shared" si="34"/>
        <v>0.66959582997063127</v>
      </c>
      <c r="AK67" s="8">
        <f t="shared" si="36"/>
        <v>0.20646691207487106</v>
      </c>
      <c r="AL67" s="42">
        <f t="shared" si="37"/>
        <v>0.15498621638206184</v>
      </c>
      <c r="AZ67" s="8"/>
    </row>
    <row r="68" spans="1:52" x14ac:dyDescent="0.25">
      <c r="A68" s="40"/>
      <c r="B68" s="41">
        <f t="shared" si="13"/>
        <v>742.37673892210341</v>
      </c>
      <c r="C68" s="41">
        <f t="shared" si="13"/>
        <v>738.85825557003852</v>
      </c>
      <c r="D68" s="41">
        <f t="shared" si="13"/>
        <v>3.1578461826124529</v>
      </c>
      <c r="E68" s="41">
        <f t="shared" si="35"/>
        <v>16</v>
      </c>
      <c r="F68" s="41">
        <f t="shared" si="14"/>
        <v>16</v>
      </c>
      <c r="G68" s="41">
        <f t="shared" si="15"/>
        <v>153.27159427349036</v>
      </c>
      <c r="H68" s="25">
        <f t="shared" si="16"/>
        <v>0.08</v>
      </c>
      <c r="I68" s="226">
        <f t="shared" si="17"/>
        <v>2.8147866816519129</v>
      </c>
      <c r="J68" s="227">
        <f t="shared" si="38"/>
        <v>80</v>
      </c>
      <c r="K68" s="41">
        <f t="shared" si="18"/>
        <v>1</v>
      </c>
      <c r="L68" s="215">
        <f t="shared" si="19"/>
        <v>3.2378461826124529</v>
      </c>
      <c r="M68" s="215">
        <f t="shared" si="4"/>
        <v>3.1978461826124529</v>
      </c>
      <c r="N68" s="41">
        <f t="shared" si="20"/>
        <v>0.18001692581138773</v>
      </c>
      <c r="O68" s="41">
        <f t="shared" si="21"/>
        <v>7.3141029012309247</v>
      </c>
      <c r="P68" s="228">
        <f t="shared" si="22"/>
        <v>44.376790188550473</v>
      </c>
      <c r="Q68" s="41">
        <f t="shared" si="23"/>
        <v>67.704342726297142</v>
      </c>
      <c r="R68" s="41">
        <f t="shared" si="24"/>
        <v>682.5369675795954</v>
      </c>
      <c r="S68" s="215">
        <f t="shared" si="5"/>
        <v>1.3562173051596601E-2</v>
      </c>
      <c r="T68" s="215">
        <f t="shared" si="6"/>
        <v>0.18249191271210616</v>
      </c>
      <c r="U68" s="230">
        <f t="shared" si="25"/>
        <v>3.0778461826124528</v>
      </c>
      <c r="V68" s="230">
        <f t="shared" si="7"/>
        <v>3.1178461826124528</v>
      </c>
      <c r="W68" s="41">
        <f t="shared" si="26"/>
        <v>-0.1765586024760184</v>
      </c>
      <c r="X68" s="41">
        <f t="shared" si="27"/>
        <v>56.894062149790273</v>
      </c>
      <c r="Y68" s="41">
        <f t="shared" si="28"/>
        <v>42.184229110881681</v>
      </c>
      <c r="Z68" s="41">
        <f t="shared" si="29"/>
        <v>623.90567010655889</v>
      </c>
      <c r="AA68" s="230">
        <f t="shared" si="8"/>
        <v>1.2467717240512986E-2</v>
      </c>
      <c r="AB68" s="230">
        <f t="shared" si="30"/>
        <v>-0.17878767667488918</v>
      </c>
      <c r="AC68" s="41">
        <f t="shared" si="31"/>
        <v>0.18249191271210616</v>
      </c>
      <c r="AD68" s="41">
        <f t="shared" si="9"/>
        <v>0.43837559051838992</v>
      </c>
      <c r="AE68" s="41">
        <f t="shared" si="32"/>
        <v>-6.6648736660290184E-2</v>
      </c>
      <c r="AF68" s="41">
        <f t="shared" si="10"/>
        <v>742.37426393520275</v>
      </c>
      <c r="AG68" s="41">
        <f t="shared" si="11"/>
        <v>738.67576365732646</v>
      </c>
      <c r="AH68" s="41">
        <f t="shared" si="33"/>
        <v>3.2376213067347024</v>
      </c>
      <c r="AI68" s="41">
        <f t="shared" si="12"/>
        <v>267.37293565102686</v>
      </c>
      <c r="AJ68" s="41">
        <f t="shared" si="34"/>
        <v>0.74386608987369429</v>
      </c>
      <c r="AK68" s="8">
        <f t="shared" si="36"/>
        <v>0.24449232041506447</v>
      </c>
      <c r="AL68" s="42">
        <f t="shared" si="37"/>
        <v>0.17637605123414399</v>
      </c>
      <c r="AZ68" s="8"/>
    </row>
    <row r="69" spans="1:52" x14ac:dyDescent="0.25">
      <c r="A69" s="40"/>
      <c r="B69" s="41">
        <f t="shared" si="13"/>
        <v>742.37426393520275</v>
      </c>
      <c r="C69" s="41">
        <f t="shared" si="13"/>
        <v>738.67576365732646</v>
      </c>
      <c r="D69" s="41">
        <f t="shared" si="13"/>
        <v>3.2376213067347024</v>
      </c>
      <c r="E69" s="41">
        <f t="shared" si="35"/>
        <v>16</v>
      </c>
      <c r="F69" s="41">
        <f t="shared" si="14"/>
        <v>16</v>
      </c>
      <c r="G69" s="41">
        <f t="shared" si="15"/>
        <v>164.88569676016536</v>
      </c>
      <c r="H69" s="25">
        <f t="shared" si="16"/>
        <v>0.08</v>
      </c>
      <c r="I69" s="226">
        <f t="shared" si="17"/>
        <v>2.9588002223010337</v>
      </c>
      <c r="J69" s="227">
        <f t="shared" si="38"/>
        <v>80</v>
      </c>
      <c r="K69" s="41">
        <f t="shared" si="18"/>
        <v>1</v>
      </c>
      <c r="L69" s="215">
        <f t="shared" si="19"/>
        <v>3.3176213067347025</v>
      </c>
      <c r="M69" s="215">
        <f t="shared" si="4"/>
        <v>3.2776213067347024</v>
      </c>
      <c r="N69" s="41">
        <f t="shared" si="20"/>
        <v>0.18455161976525769</v>
      </c>
      <c r="O69" s="41">
        <f t="shared" si="21"/>
        <v>7.3137903928849344</v>
      </c>
      <c r="P69" s="228">
        <f t="shared" si="22"/>
        <v>45.850294798526114</v>
      </c>
      <c r="Q69" s="41">
        <f t="shared" si="23"/>
        <v>79.036524471027946</v>
      </c>
      <c r="R69" s="41">
        <f t="shared" si="24"/>
        <v>717.36351048346728</v>
      </c>
      <c r="S69" s="215">
        <f t="shared" si="5"/>
        <v>1.5064198953155907E-2</v>
      </c>
      <c r="T69" s="215">
        <f t="shared" si="6"/>
        <v>0.18737426294090037</v>
      </c>
      <c r="U69" s="230">
        <f t="shared" si="25"/>
        <v>3.1576213067347023</v>
      </c>
      <c r="V69" s="230">
        <f t="shared" si="7"/>
        <v>3.1976213067347024</v>
      </c>
      <c r="W69" s="41">
        <f t="shared" si="26"/>
        <v>-0.18103190175016337</v>
      </c>
      <c r="X69" s="41">
        <f t="shared" si="27"/>
        <v>67.673184747314394</v>
      </c>
      <c r="Y69" s="41">
        <f t="shared" si="28"/>
        <v>43.639387078456174</v>
      </c>
      <c r="Z69" s="41">
        <f t="shared" si="29"/>
        <v>663.79559454402329</v>
      </c>
      <c r="AA69" s="230">
        <f t="shared" si="8"/>
        <v>1.3939260672438223E-2</v>
      </c>
      <c r="AB69" s="230">
        <f t="shared" si="30"/>
        <v>-0.18359102490341214</v>
      </c>
      <c r="AC69" s="41">
        <f t="shared" si="31"/>
        <v>0.18737426294090037</v>
      </c>
      <c r="AD69" s="41">
        <f t="shared" si="9"/>
        <v>0.42695298033131029</v>
      </c>
      <c r="AE69" s="41">
        <f t="shared" si="32"/>
        <v>-6.1766178899234414E-2</v>
      </c>
      <c r="AF69" s="41">
        <f t="shared" si="10"/>
        <v>742.37144129202716</v>
      </c>
      <c r="AG69" s="41">
        <f t="shared" si="11"/>
        <v>738.48838939438554</v>
      </c>
      <c r="AH69" s="41">
        <f t="shared" si="33"/>
        <v>3.3174151154693545</v>
      </c>
      <c r="AI69" s="41">
        <f t="shared" si="12"/>
        <v>261.19848612681659</v>
      </c>
      <c r="AJ69" s="41">
        <f t="shared" si="34"/>
        <v>0.81642122490892111</v>
      </c>
      <c r="AK69" s="8">
        <f t="shared" si="36"/>
        <v>0.2845266288055438</v>
      </c>
      <c r="AL69" s="42">
        <f t="shared" si="37"/>
        <v>0.19727193012428931</v>
      </c>
      <c r="AZ69" s="8"/>
    </row>
    <row r="70" spans="1:52" x14ac:dyDescent="0.25">
      <c r="A70" s="40"/>
      <c r="B70" s="41">
        <f t="shared" si="13"/>
        <v>742.37144129202716</v>
      </c>
      <c r="C70" s="41">
        <f t="shared" si="13"/>
        <v>738.48838939438554</v>
      </c>
      <c r="D70" s="41">
        <f t="shared" si="13"/>
        <v>3.3174151154693545</v>
      </c>
      <c r="E70" s="41">
        <f t="shared" si="35"/>
        <v>16</v>
      </c>
      <c r="F70" s="41">
        <f t="shared" si="14"/>
        <v>16</v>
      </c>
      <c r="G70" s="41">
        <f t="shared" si="15"/>
        <v>177.07499921104881</v>
      </c>
      <c r="H70" s="25">
        <f t="shared" si="16"/>
        <v>0.08</v>
      </c>
      <c r="I70" s="226">
        <f t="shared" si="17"/>
        <v>3.1064415181132974</v>
      </c>
      <c r="J70" s="227">
        <f t="shared" si="38"/>
        <v>80</v>
      </c>
      <c r="K70" s="41">
        <f t="shared" si="18"/>
        <v>1</v>
      </c>
      <c r="L70" s="215">
        <f t="shared" si="19"/>
        <v>3.3974151154693546</v>
      </c>
      <c r="M70" s="215">
        <f t="shared" si="4"/>
        <v>3.3574151154693546</v>
      </c>
      <c r="N70" s="41">
        <f t="shared" si="20"/>
        <v>0.18908814190482559</v>
      </c>
      <c r="O70" s="41">
        <f t="shared" si="21"/>
        <v>7.3134339871399625</v>
      </c>
      <c r="P70" s="228">
        <f t="shared" si="22"/>
        <v>47.336106798493923</v>
      </c>
      <c r="Q70" s="41">
        <f t="shared" si="23"/>
        <v>90.936842600800986</v>
      </c>
      <c r="R70" s="41">
        <f t="shared" si="24"/>
        <v>749.3365425362216</v>
      </c>
      <c r="S70" s="215">
        <f t="shared" si="5"/>
        <v>1.6593638067704797E-2</v>
      </c>
      <c r="T70" s="215">
        <f t="shared" si="6"/>
        <v>0.192278745821093</v>
      </c>
      <c r="U70" s="230">
        <f t="shared" si="25"/>
        <v>3.2374151154693545</v>
      </c>
      <c r="V70" s="230">
        <f t="shared" si="7"/>
        <v>3.2774151154693545</v>
      </c>
      <c r="W70" s="41">
        <f t="shared" si="26"/>
        <v>-0.18550548265496847</v>
      </c>
      <c r="X70" s="41">
        <f t="shared" si="27"/>
        <v>79.006511962300095</v>
      </c>
      <c r="Y70" s="41">
        <f t="shared" si="28"/>
        <v>45.107146899323332</v>
      </c>
      <c r="Z70" s="41">
        <f t="shared" si="29"/>
        <v>700.21529168230472</v>
      </c>
      <c r="AA70" s="230">
        <f t="shared" si="8"/>
        <v>1.5428011434725409E-2</v>
      </c>
      <c r="AB70" s="230">
        <f t="shared" si="30"/>
        <v>-0.1884123099269647</v>
      </c>
      <c r="AC70" s="41">
        <f t="shared" si="31"/>
        <v>0.192278745821093</v>
      </c>
      <c r="AD70" s="41">
        <f t="shared" si="9"/>
        <v>0.4160626264664557</v>
      </c>
      <c r="AE70" s="41">
        <f t="shared" si="32"/>
        <v>-5.7370038501034615E-2</v>
      </c>
      <c r="AF70" s="41">
        <f t="shared" si="10"/>
        <v>742.36825068811083</v>
      </c>
      <c r="AG70" s="41">
        <f t="shared" si="11"/>
        <v>738.29611064856442</v>
      </c>
      <c r="AH70" s="41">
        <f t="shared" si="33"/>
        <v>3.3972270548200387</v>
      </c>
      <c r="AI70" s="41">
        <f t="shared" si="12"/>
        <v>256.59865081489551</v>
      </c>
      <c r="AJ70" s="41">
        <f t="shared" si="34"/>
        <v>0.88769862791305876</v>
      </c>
      <c r="AK70" s="8">
        <f t="shared" si="36"/>
        <v>0.32683607613287624</v>
      </c>
      <c r="AL70" s="42">
        <f t="shared" si="37"/>
        <v>0.21779982218948096</v>
      </c>
      <c r="AZ70" s="8"/>
    </row>
    <row r="71" spans="1:52" x14ac:dyDescent="0.25">
      <c r="A71" s="40"/>
      <c r="B71" s="41">
        <f t="shared" si="13"/>
        <v>742.36825068811083</v>
      </c>
      <c r="C71" s="41">
        <f t="shared" si="13"/>
        <v>738.29611064856442</v>
      </c>
      <c r="D71" s="41">
        <f t="shared" si="13"/>
        <v>3.3972270548200387</v>
      </c>
      <c r="E71" s="41">
        <f t="shared" si="35"/>
        <v>16</v>
      </c>
      <c r="F71" s="41">
        <f t="shared" si="14"/>
        <v>16</v>
      </c>
      <c r="G71" s="41">
        <f t="shared" si="15"/>
        <v>189.85358851853456</v>
      </c>
      <c r="H71" s="25">
        <f t="shared" si="16"/>
        <v>0.08</v>
      </c>
      <c r="I71" s="226">
        <f t="shared" si="17"/>
        <v>3.2577120316371295</v>
      </c>
      <c r="J71" s="227">
        <f t="shared" si="38"/>
        <v>80</v>
      </c>
      <c r="K71" s="41">
        <f t="shared" si="18"/>
        <v>1</v>
      </c>
      <c r="L71" s="215">
        <f t="shared" si="19"/>
        <v>3.4772270548200388</v>
      </c>
      <c r="M71" s="215">
        <f t="shared" si="4"/>
        <v>3.4372270548200388</v>
      </c>
      <c r="N71" s="41">
        <f t="shared" si="20"/>
        <v>0.193626461263948</v>
      </c>
      <c r="O71" s="41">
        <f t="shared" si="21"/>
        <v>7.3130311202187954</v>
      </c>
      <c r="P71" s="228">
        <f t="shared" si="22"/>
        <v>48.834034951055159</v>
      </c>
      <c r="Q71" s="41">
        <f t="shared" si="23"/>
        <v>103.41937882288155</v>
      </c>
      <c r="R71" s="41">
        <f t="shared" si="24"/>
        <v>778.78645611811578</v>
      </c>
      <c r="S71" s="215">
        <f t="shared" si="5"/>
        <v>1.8158756845620763E-2</v>
      </c>
      <c r="T71" s="215">
        <f t="shared" si="6"/>
        <v>0.19720750438419224</v>
      </c>
      <c r="U71" s="230">
        <f t="shared" si="25"/>
        <v>3.3172270548200387</v>
      </c>
      <c r="V71" s="230">
        <f t="shared" si="7"/>
        <v>3.3572270548200387</v>
      </c>
      <c r="W71" s="41">
        <f t="shared" si="26"/>
        <v>-0.18997931360079612</v>
      </c>
      <c r="X71" s="41">
        <f t="shared" si="27"/>
        <v>90.908119885347702</v>
      </c>
      <c r="Y71" s="41">
        <f t="shared" si="28"/>
        <v>46.587305783907404</v>
      </c>
      <c r="Z71" s="41">
        <f t="shared" si="29"/>
        <v>733.59082388226079</v>
      </c>
      <c r="AA71" s="230">
        <f t="shared" si="8"/>
        <v>1.6945382021176927E-2</v>
      </c>
      <c r="AB71" s="230">
        <f t="shared" si="30"/>
        <v>-0.19325407777585826</v>
      </c>
      <c r="AC71" s="41">
        <f t="shared" si="31"/>
        <v>0.19720750438419224</v>
      </c>
      <c r="AD71" s="41">
        <f t="shared" si="9"/>
        <v>0.40566407576532693</v>
      </c>
      <c r="AE71" s="41">
        <f t="shared" si="32"/>
        <v>-5.3396240281386273E-2</v>
      </c>
      <c r="AF71" s="41">
        <f t="shared" si="10"/>
        <v>742.36466964499061</v>
      </c>
      <c r="AG71" s="41">
        <f t="shared" si="11"/>
        <v>738.09890314418021</v>
      </c>
      <c r="AH71" s="41">
        <f t="shared" si="33"/>
        <v>3.4770566087461461</v>
      </c>
      <c r="AI71" s="41">
        <f t="shared" si="12"/>
        <v>253.22410634511914</v>
      </c>
      <c r="AJ71" s="41">
        <f t="shared" si="34"/>
        <v>0.95803865745336969</v>
      </c>
      <c r="AK71" s="8">
        <f t="shared" si="36"/>
        <v>0.37167573456415676</v>
      </c>
      <c r="AL71" s="42">
        <f t="shared" si="37"/>
        <v>0.23805775069709051</v>
      </c>
      <c r="AZ71" s="8"/>
    </row>
    <row r="72" spans="1:52" x14ac:dyDescent="0.25">
      <c r="A72" s="40"/>
      <c r="B72" s="41">
        <f t="shared" si="13"/>
        <v>742.36466964499061</v>
      </c>
      <c r="C72" s="41">
        <f t="shared" si="13"/>
        <v>738.09890314418021</v>
      </c>
      <c r="D72" s="41">
        <f t="shared" si="13"/>
        <v>3.4770566087461461</v>
      </c>
      <c r="E72" s="41">
        <f t="shared" si="35"/>
        <v>16</v>
      </c>
      <c r="F72" s="41">
        <f t="shared" si="14"/>
        <v>16</v>
      </c>
      <c r="G72" s="41">
        <f t="shared" si="15"/>
        <v>203.23556066649877</v>
      </c>
      <c r="H72" s="25">
        <f t="shared" si="16"/>
        <v>0.08</v>
      </c>
      <c r="I72" s="226">
        <f t="shared" si="17"/>
        <v>3.4126132006483205</v>
      </c>
      <c r="J72" s="227">
        <f t="shared" si="38"/>
        <v>80</v>
      </c>
      <c r="K72" s="41">
        <f t="shared" si="18"/>
        <v>1</v>
      </c>
      <c r="L72" s="215">
        <f t="shared" si="19"/>
        <v>3.5570566087461462</v>
      </c>
      <c r="M72" s="215">
        <f t="shared" si="4"/>
        <v>3.5170566087461461</v>
      </c>
      <c r="N72" s="41">
        <f t="shared" si="20"/>
        <v>0.19816654901413422</v>
      </c>
      <c r="O72" s="41">
        <f t="shared" si="21"/>
        <v>7.3125789538408155</v>
      </c>
      <c r="P72" s="228">
        <f t="shared" si="22"/>
        <v>50.343895474240036</v>
      </c>
      <c r="Q72" s="41">
        <f t="shared" si="23"/>
        <v>116.49822398034473</v>
      </c>
      <c r="R72" s="41">
        <f t="shared" si="24"/>
        <v>805.99483563500121</v>
      </c>
      <c r="S72" s="215">
        <f t="shared" si="5"/>
        <v>1.9765894695379857E-2</v>
      </c>
      <c r="T72" s="215">
        <f t="shared" si="6"/>
        <v>0.20216247112984448</v>
      </c>
      <c r="U72" s="230">
        <f t="shared" si="25"/>
        <v>3.397056608746146</v>
      </c>
      <c r="V72" s="230">
        <f t="shared" si="7"/>
        <v>3.437056608746146</v>
      </c>
      <c r="W72" s="41">
        <f t="shared" si="26"/>
        <v>-0.19445336514621125</v>
      </c>
      <c r="X72" s="41">
        <f t="shared" si="27"/>
        <v>103.39209383800261</v>
      </c>
      <c r="Y72" s="41">
        <f t="shared" si="28"/>
        <v>48.079669104827822</v>
      </c>
      <c r="Z72" s="41">
        <f t="shared" si="29"/>
        <v>764.28162549872616</v>
      </c>
      <c r="AA72" s="230">
        <f t="shared" si="8"/>
        <v>1.8499642833607718E-2</v>
      </c>
      <c r="AB72" s="230">
        <f t="shared" si="30"/>
        <v>-0.19811848638303234</v>
      </c>
      <c r="AC72" s="41">
        <f t="shared" si="31"/>
        <v>0.20216247112984448</v>
      </c>
      <c r="AD72" s="41">
        <f t="shared" si="9"/>
        <v>0.39572132034643448</v>
      </c>
      <c r="AE72" s="41">
        <f t="shared" si="32"/>
        <v>-4.9792202861994997E-2</v>
      </c>
      <c r="AF72" s="41">
        <f t="shared" si="10"/>
        <v>742.36067372287494</v>
      </c>
      <c r="AG72" s="41">
        <f t="shared" si="11"/>
        <v>737.89674067305032</v>
      </c>
      <c r="AH72" s="41">
        <f t="shared" si="33"/>
        <v>3.5569032957818405</v>
      </c>
      <c r="AI72" s="41">
        <f t="shared" si="12"/>
        <v>250.82353160559799</v>
      </c>
      <c r="AJ72" s="41">
        <f t="shared" si="34"/>
        <v>1.0277118606771469</v>
      </c>
      <c r="AK72" s="8">
        <f t="shared" si="36"/>
        <v>0.41929548212437162</v>
      </c>
      <c r="AL72" s="42">
        <f t="shared" si="37"/>
        <v>0.25812363322553833</v>
      </c>
      <c r="AZ72" s="8"/>
    </row>
    <row r="73" spans="1:52" x14ac:dyDescent="0.25">
      <c r="A73" s="40"/>
      <c r="B73" s="41">
        <f t="shared" si="13"/>
        <v>742.36067372287494</v>
      </c>
      <c r="C73" s="41">
        <f t="shared" si="13"/>
        <v>737.89674067305032</v>
      </c>
      <c r="D73" s="41">
        <f t="shared" si="13"/>
        <v>3.5569032957818405</v>
      </c>
      <c r="E73" s="41">
        <f t="shared" si="35"/>
        <v>16</v>
      </c>
      <c r="F73" s="41">
        <f>(E73+E72)/2</f>
        <v>16</v>
      </c>
      <c r="G73" s="41">
        <f t="shared" si="15"/>
        <v>217.23502064629466</v>
      </c>
      <c r="H73" s="25">
        <f t="shared" si="16"/>
        <v>0.08</v>
      </c>
      <c r="I73" s="226">
        <f t="shared" si="17"/>
        <v>3.5711464398596946</v>
      </c>
      <c r="J73" s="227">
        <f t="shared" si="38"/>
        <v>80</v>
      </c>
      <c r="K73" s="41">
        <f t="shared" si="18"/>
        <v>1</v>
      </c>
      <c r="L73" s="215">
        <f t="shared" si="19"/>
        <v>3.6369032957818406</v>
      </c>
      <c r="M73" s="215">
        <f t="shared" si="4"/>
        <v>3.5969032957818405</v>
      </c>
      <c r="N73" s="41">
        <f t="shared" si="20"/>
        <v>0.20270837827402843</v>
      </c>
      <c r="O73" s="41">
        <f t="shared" si="21"/>
        <v>7.3120744020750088</v>
      </c>
      <c r="P73" s="228">
        <f t="shared" si="22"/>
        <v>51.865511589475169</v>
      </c>
      <c r="Q73" s="41">
        <f t="shared" si="23"/>
        <v>130.18747796495197</v>
      </c>
      <c r="R73" s="41">
        <f t="shared" si="24"/>
        <v>831.20312957876467</v>
      </c>
      <c r="S73" s="215">
        <f t="shared" si="5"/>
        <v>2.1420097447892129E-2</v>
      </c>
      <c r="T73" s="215">
        <f t="shared" si="6"/>
        <v>0.20714545408644799</v>
      </c>
      <c r="U73" s="230">
        <f t="shared" si="25"/>
        <v>3.4769032957818404</v>
      </c>
      <c r="V73" s="230">
        <f t="shared" si="7"/>
        <v>3.5169032957818405</v>
      </c>
      <c r="W73" s="41">
        <f t="shared" si="26"/>
        <v>-0.1989276098067343</v>
      </c>
      <c r="X73" s="41">
        <f t="shared" si="27"/>
        <v>116.47252827906595</v>
      </c>
      <c r="Y73" s="41">
        <f t="shared" si="28"/>
        <v>49.584049886827586</v>
      </c>
      <c r="Z73" s="41">
        <f t="shared" si="29"/>
        <v>792.59301175540452</v>
      </c>
      <c r="AA73" s="230">
        <f t="shared" si="8"/>
        <v>2.0097066157999874E-2</v>
      </c>
      <c r="AB73" s="230">
        <f t="shared" si="30"/>
        <v>-0.20300746424625915</v>
      </c>
      <c r="AC73" s="41">
        <f t="shared" si="31"/>
        <v>0.20714545408644799</v>
      </c>
      <c r="AD73" s="41">
        <f t="shared" si="9"/>
        <v>0.38620205474851316</v>
      </c>
      <c r="AE73" s="41">
        <f t="shared" si="32"/>
        <v>-4.6513956908559806E-2</v>
      </c>
      <c r="AF73" s="41">
        <f t="shared" si="10"/>
        <v>742.35623664706247</v>
      </c>
      <c r="AG73" s="41">
        <f t="shared" si="11"/>
        <v>737.68959521896386</v>
      </c>
      <c r="AH73" s="41">
        <f t="shared" si="33"/>
        <v>3.6367666660231257</v>
      </c>
      <c r="AI73" s="41">
        <f t="shared" si="12"/>
        <v>249.2115906630726</v>
      </c>
      <c r="AJ73" s="41">
        <f t="shared" si="34"/>
        <v>1.0969373025280005</v>
      </c>
      <c r="AK73" s="8">
        <f t="shared" si="36"/>
        <v>0.46994413947737118</v>
      </c>
      <c r="AL73" s="42">
        <f t="shared" si="37"/>
        <v>0.27806056047858413</v>
      </c>
      <c r="AZ73" s="8"/>
    </row>
    <row r="74" spans="1:52" x14ac:dyDescent="0.25">
      <c r="A74" s="40"/>
      <c r="B74" s="41">
        <f t="shared" si="13"/>
        <v>742.35623664706247</v>
      </c>
      <c r="C74" s="41">
        <f t="shared" si="13"/>
        <v>737.68959521896386</v>
      </c>
      <c r="D74" s="41">
        <f t="shared" si="13"/>
        <v>3.6367666660231257</v>
      </c>
      <c r="E74" s="41">
        <f t="shared" si="35"/>
        <v>16</v>
      </c>
      <c r="F74" s="41">
        <f t="shared" si="14"/>
        <v>16</v>
      </c>
      <c r="G74" s="41">
        <f t="shared" si="15"/>
        <v>231.86608237854824</v>
      </c>
      <c r="H74" s="25">
        <f t="shared" si="16"/>
        <v>0.08</v>
      </c>
      <c r="I74" s="226">
        <f t="shared" si="17"/>
        <v>3.7333131424788917</v>
      </c>
      <c r="J74" s="227">
        <f t="shared" si="38"/>
        <v>80</v>
      </c>
      <c r="K74" s="41">
        <f t="shared" si="18"/>
        <v>1</v>
      </c>
      <c r="L74" s="215">
        <f t="shared" si="19"/>
        <v>3.7167666660231258</v>
      </c>
      <c r="M74" s="215">
        <f t="shared" si="4"/>
        <v>3.6767666660231257</v>
      </c>
      <c r="N74" s="41">
        <f t="shared" si="20"/>
        <v>0.20725192393961578</v>
      </c>
      <c r="O74" s="41">
        <f t="shared" si="21"/>
        <v>7.3115141473024226</v>
      </c>
      <c r="P74" s="228">
        <f t="shared" si="22"/>
        <v>53.398713106343514</v>
      </c>
      <c r="Q74" s="41">
        <f t="shared" si="23"/>
        <v>144.50124963610511</v>
      </c>
      <c r="R74" s="41">
        <f t="shared" si="24"/>
        <v>854.61953869494721</v>
      </c>
      <c r="S74" s="215">
        <f t="shared" si="5"/>
        <v>2.3125517524180631E-2</v>
      </c>
      <c r="T74" s="215">
        <f t="shared" si="6"/>
        <v>0.21215819192487292</v>
      </c>
      <c r="U74" s="230">
        <f t="shared" si="25"/>
        <v>3.5567666660231256</v>
      </c>
      <c r="V74" s="230">
        <f t="shared" si="7"/>
        <v>3.5967666660231257</v>
      </c>
      <c r="W74" s="41">
        <f t="shared" si="26"/>
        <v>-0.2034020218844379</v>
      </c>
      <c r="X74" s="41">
        <f t="shared" si="27"/>
        <v>130.16352671756576</v>
      </c>
      <c r="Y74" s="41">
        <f t="shared" si="28"/>
        <v>51.100268339421127</v>
      </c>
      <c r="Z74" s="41">
        <f t="shared" si="29"/>
        <v>818.78597363729887</v>
      </c>
      <c r="AA74" s="230">
        <f t="shared" si="8"/>
        <v>2.1742605604343917E-2</v>
      </c>
      <c r="AB74" s="230">
        <f t="shared" si="30"/>
        <v>-0.20792280543925229</v>
      </c>
      <c r="AC74" s="41">
        <f t="shared" si="31"/>
        <v>0.21215819192487292</v>
      </c>
      <c r="AD74" s="41">
        <f t="shared" si="9"/>
        <v>0.37707712002150123</v>
      </c>
      <c r="AE74" s="41">
        <f t="shared" si="32"/>
        <v>-4.3524232683469471E-2</v>
      </c>
      <c r="AF74" s="41">
        <f t="shared" si="10"/>
        <v>742.35133037907724</v>
      </c>
      <c r="AG74" s="41">
        <f t="shared" si="11"/>
        <v>737.47743702703895</v>
      </c>
      <c r="AH74" s="41">
        <f t="shared" si="33"/>
        <v>3.7166462984358941</v>
      </c>
      <c r="AI74" s="41">
        <f t="shared" si="12"/>
        <v>248.2487028658982</v>
      </c>
      <c r="AJ74" s="41">
        <f t="shared" si="34"/>
        <v>1.1658952755463055</v>
      </c>
      <c r="AK74" s="8">
        <f t="shared" si="36"/>
        <v>0.5238724515698604</v>
      </c>
      <c r="AL74" s="42">
        <f t="shared" si="37"/>
        <v>0.297920456707856</v>
      </c>
      <c r="AZ74" s="8"/>
    </row>
    <row r="75" spans="1:52" x14ac:dyDescent="0.25">
      <c r="A75" s="40"/>
      <c r="B75" s="41">
        <f t="shared" si="13"/>
        <v>742.35133037907724</v>
      </c>
      <c r="C75" s="41">
        <f t="shared" si="13"/>
        <v>737.47743702703895</v>
      </c>
      <c r="D75" s="41">
        <f t="shared" si="13"/>
        <v>3.7166462984358941</v>
      </c>
      <c r="E75" s="41">
        <f t="shared" si="35"/>
        <v>16</v>
      </c>
      <c r="F75" s="41">
        <f t="shared" si="14"/>
        <v>16</v>
      </c>
      <c r="G75" s="41">
        <f t="shared" si="15"/>
        <v>247.14286864025041</v>
      </c>
      <c r="H75" s="25">
        <f t="shared" si="16"/>
        <v>0.08</v>
      </c>
      <c r="I75" s="226">
        <f t="shared" si="17"/>
        <v>3.8991146816306355</v>
      </c>
      <c r="J75" s="227">
        <f t="shared" si="38"/>
        <v>80</v>
      </c>
      <c r="K75" s="41">
        <f t="shared" si="18"/>
        <v>1</v>
      </c>
      <c r="L75" s="215">
        <f t="shared" si="19"/>
        <v>3.7966462984358942</v>
      </c>
      <c r="M75" s="215">
        <f t="shared" si="4"/>
        <v>3.7566462984358941</v>
      </c>
      <c r="N75" s="41">
        <f t="shared" si="20"/>
        <v>0.21179716253256764</v>
      </c>
      <c r="O75" s="41">
        <f t="shared" si="21"/>
        <v>7.3108946491981532</v>
      </c>
      <c r="P75" s="228">
        <f t="shared" si="22"/>
        <v>54.943336040410394</v>
      </c>
      <c r="Q75" s="41">
        <f t="shared" si="23"/>
        <v>159.45365674533846</v>
      </c>
      <c r="R75" s="41">
        <f t="shared" si="24"/>
        <v>876.42453401668763</v>
      </c>
      <c r="S75" s="215">
        <f t="shared" si="5"/>
        <v>2.4885675354160343E-2</v>
      </c>
      <c r="T75" s="215">
        <f t="shared" si="6"/>
        <v>0.21720239071402433</v>
      </c>
      <c r="U75" s="230">
        <f t="shared" si="25"/>
        <v>3.636646298435894</v>
      </c>
      <c r="V75" s="230">
        <f t="shared" si="7"/>
        <v>3.6766462984358941</v>
      </c>
      <c r="W75" s="41">
        <f t="shared" si="26"/>
        <v>-0.20787657731559506</v>
      </c>
      <c r="X75" s="41">
        <f t="shared" si="27"/>
        <v>144.47920163178819</v>
      </c>
      <c r="Y75" s="41">
        <f t="shared" si="28"/>
        <v>52.628151427816363</v>
      </c>
      <c r="Z75" s="41">
        <f t="shared" si="29"/>
        <v>843.08492158080912</v>
      </c>
      <c r="AA75" s="230">
        <f t="shared" si="8"/>
        <v>2.3440317251909811E-2</v>
      </c>
      <c r="AB75" s="230">
        <f t="shared" si="30"/>
        <v>-0.21286622926170723</v>
      </c>
      <c r="AC75" s="41">
        <f t="shared" si="31"/>
        <v>0.21720239071402433</v>
      </c>
      <c r="AD75" s="41">
        <f t="shared" si="9"/>
        <v>0.36832007114199117</v>
      </c>
      <c r="AE75" s="41">
        <f t="shared" si="32"/>
        <v>-4.0791116993964753E-2</v>
      </c>
      <c r="AF75" s="41">
        <f t="shared" si="10"/>
        <v>742.34592515089582</v>
      </c>
      <c r="AG75" s="41">
        <f t="shared" si="11"/>
        <v>737.26023463632487</v>
      </c>
      <c r="AH75" s="41">
        <f t="shared" si="33"/>
        <v>3.7965417984442538</v>
      </c>
      <c r="AI75" s="41">
        <f t="shared" si="12"/>
        <v>247.82783033078428</v>
      </c>
      <c r="AJ75" s="41">
        <f t="shared" si="34"/>
        <v>1.234736339527079</v>
      </c>
      <c r="AK75" s="8">
        <f t="shared" si="36"/>
        <v>0.58133531969303487</v>
      </c>
      <c r="AL75" s="42">
        <f t="shared" si="37"/>
        <v>0.31774668313431875</v>
      </c>
      <c r="AZ75" s="8"/>
    </row>
    <row r="76" spans="1:52" x14ac:dyDescent="0.25">
      <c r="A76" s="40"/>
      <c r="B76" s="41">
        <f t="shared" si="13"/>
        <v>742.34592515089582</v>
      </c>
      <c r="C76" s="41">
        <f t="shared" si="13"/>
        <v>737.26023463632487</v>
      </c>
      <c r="D76" s="41">
        <f t="shared" si="13"/>
        <v>3.7965417984442538</v>
      </c>
      <c r="E76" s="41">
        <f t="shared" si="35"/>
        <v>16</v>
      </c>
      <c r="F76" s="41">
        <f t="shared" si="14"/>
        <v>16</v>
      </c>
      <c r="G76" s="41">
        <f t="shared" si="15"/>
        <v>263.07951099658311</v>
      </c>
      <c r="H76" s="25">
        <f t="shared" si="16"/>
        <v>0.08</v>
      </c>
      <c r="I76" s="226">
        <f t="shared" si="17"/>
        <v>4.0685524116567651</v>
      </c>
      <c r="J76" s="227">
        <f t="shared" si="38"/>
        <v>80</v>
      </c>
      <c r="K76" s="41">
        <f t="shared" si="18"/>
        <v>1</v>
      </c>
      <c r="L76" s="215">
        <f t="shared" si="19"/>
        <v>3.8765417984442538</v>
      </c>
      <c r="M76" s="215">
        <f t="shared" si="4"/>
        <v>3.8365417984442538</v>
      </c>
      <c r="N76" s="41">
        <f t="shared" si="20"/>
        <v>0.21634407206434503</v>
      </c>
      <c r="O76" s="41">
        <f t="shared" si="21"/>
        <v>7.3102121490531129</v>
      </c>
      <c r="P76" s="228">
        <f t="shared" si="22"/>
        <v>56.499222260827402</v>
      </c>
      <c r="Q76" s="41">
        <f t="shared" si="23"/>
        <v>175.0588258657688</v>
      </c>
      <c r="R76" s="41">
        <f t="shared" si="24"/>
        <v>896.77531238341874</v>
      </c>
      <c r="S76" s="231">
        <f t="shared" si="5"/>
        <v>2.6703635209618059E-2</v>
      </c>
      <c r="T76" s="215">
        <f t="shared" si="6"/>
        <v>0.22227974940699474</v>
      </c>
      <c r="U76" s="230">
        <f t="shared" si="25"/>
        <v>3.7165417984442537</v>
      </c>
      <c r="V76" s="230">
        <f t="shared" si="7"/>
        <v>3.7565417984442537</v>
      </c>
      <c r="W76" s="41">
        <f t="shared" si="26"/>
        <v>-0.21235125353429929</v>
      </c>
      <c r="X76" s="41">
        <f t="shared" si="27"/>
        <v>159.43367439373375</v>
      </c>
      <c r="Y76" s="41">
        <f t="shared" si="28"/>
        <v>54.167532478204741</v>
      </c>
      <c r="Z76" s="41">
        <f t="shared" si="29"/>
        <v>865.68386202453109</v>
      </c>
      <c r="AA76" s="230">
        <f t="shared" si="8"/>
        <v>2.5193630347735193E-2</v>
      </c>
      <c r="AB76" s="230">
        <f t="shared" si="30"/>
        <v>-0.21783941934032469</v>
      </c>
      <c r="AC76" s="41">
        <f t="shared" si="31"/>
        <v>0.22227974940699474</v>
      </c>
      <c r="AD76" s="41">
        <f t="shared" si="9"/>
        <v>0.35990683007978297</v>
      </c>
      <c r="AE76" s="41">
        <f t="shared" si="32"/>
        <v>-3.8287066955173497E-2</v>
      </c>
      <c r="AF76" s="26">
        <f t="shared" si="10"/>
        <v>742.33998947355315</v>
      </c>
      <c r="AG76" s="26">
        <f t="shared" si="11"/>
        <v>737.03795488691787</v>
      </c>
      <c r="AH76" s="41">
        <f t="shared" si="33"/>
        <v>3.8764527957655406</v>
      </c>
      <c r="AI76" s="26">
        <f t="shared" si="12"/>
        <v>247.86559836959296</v>
      </c>
      <c r="AJ76" s="41">
        <f t="shared" si="34"/>
        <v>1.3035878946297437</v>
      </c>
      <c r="AK76" s="8">
        <f t="shared" si="36"/>
        <v>0.6425935347113283</v>
      </c>
      <c r="AL76" s="42">
        <f t="shared" si="37"/>
        <v>0.33757593100388616</v>
      </c>
      <c r="AZ76" s="8"/>
    </row>
    <row r="77" spans="1:52" x14ac:dyDescent="0.25">
      <c r="A77" s="40"/>
      <c r="B77" s="41">
        <f t="shared" si="13"/>
        <v>742.33998947355315</v>
      </c>
      <c r="C77" s="41">
        <f t="shared" si="13"/>
        <v>737.03795488691787</v>
      </c>
      <c r="D77" s="41">
        <f t="shared" si="13"/>
        <v>3.8764527957655406</v>
      </c>
      <c r="E77" s="41">
        <f t="shared" si="35"/>
        <v>16</v>
      </c>
      <c r="F77" s="41">
        <f t="shared" si="14"/>
        <v>16</v>
      </c>
      <c r="G77" s="41">
        <f t="shared" si="15"/>
        <v>279.69014973722057</v>
      </c>
      <c r="H77" s="25">
        <f t="shared" si="16"/>
        <v>0.08</v>
      </c>
      <c r="I77" s="226">
        <f t="shared" si="17"/>
        <v>4.241627669308218</v>
      </c>
      <c r="J77" s="227">
        <f t="shared" si="38"/>
        <v>80</v>
      </c>
      <c r="K77" s="41">
        <f t="shared" si="18"/>
        <v>1</v>
      </c>
      <c r="L77" s="215">
        <f t="shared" si="19"/>
        <v>3.9564527957655407</v>
      </c>
      <c r="M77" s="215">
        <f t="shared" si="4"/>
        <v>3.9164527957655406</v>
      </c>
      <c r="N77" s="41">
        <f t="shared" si="20"/>
        <v>0.22089263191422326</v>
      </c>
      <c r="O77" s="41">
        <f t="shared" si="21"/>
        <v>7.3094626708606443</v>
      </c>
      <c r="P77" s="228">
        <f t="shared" si="22"/>
        <v>58.066219164838806</v>
      </c>
      <c r="Q77" s="41">
        <f t="shared" si="23"/>
        <v>191.33089232621489</v>
      </c>
      <c r="R77" s="41">
        <f t="shared" si="24"/>
        <v>915.80942059968208</v>
      </c>
      <c r="S77" s="231">
        <f t="shared" si="5"/>
        <v>2.8582126552239705E-2</v>
      </c>
      <c r="T77" s="215">
        <f t="shared" si="6"/>
        <v>0.2273919782124558</v>
      </c>
      <c r="U77" s="230">
        <f t="shared" si="25"/>
        <v>3.7964527957655405</v>
      </c>
      <c r="V77" s="230">
        <f t="shared" si="7"/>
        <v>3.8364527957655405</v>
      </c>
      <c r="W77" s="41">
        <f t="shared" si="26"/>
        <v>-0.21682602934994755</v>
      </c>
      <c r="X77" s="41">
        <f t="shared" si="27"/>
        <v>175.04107519865997</v>
      </c>
      <c r="Y77" s="41">
        <f t="shared" si="28"/>
        <v>55.718250814009942</v>
      </c>
      <c r="Z77" s="41">
        <f t="shared" si="29"/>
        <v>886.75136461020861</v>
      </c>
      <c r="AA77" s="230">
        <f t="shared" si="8"/>
        <v>2.7005526850453303E-2</v>
      </c>
      <c r="AB77" s="230">
        <f t="shared" si="30"/>
        <v>-0.22284405033472576</v>
      </c>
      <c r="AC77" s="41">
        <f t="shared" si="31"/>
        <v>0.2273919782124558</v>
      </c>
      <c r="AD77" s="41">
        <f t="shared" si="9"/>
        <v>0.35181540100440473</v>
      </c>
      <c r="AE77" s="41">
        <f t="shared" si="32"/>
        <v>-3.5988160155027052E-2</v>
      </c>
      <c r="AF77" s="26">
        <f t="shared" si="10"/>
        <v>742.33349012725489</v>
      </c>
      <c r="AG77" s="26">
        <f t="shared" si="11"/>
        <v>736.81056290870538</v>
      </c>
      <c r="AH77" s="41">
        <f t="shared" si="33"/>
        <v>3.9563789424621696</v>
      </c>
      <c r="AI77" s="26">
        <f t="shared" si="12"/>
        <v>248.29617723691575</v>
      </c>
      <c r="AJ77" s="41">
        <f t="shared" si="34"/>
        <v>1.3725590549733313</v>
      </c>
      <c r="AK77" s="8">
        <f t="shared" si="36"/>
        <v>0.70791517160113704</v>
      </c>
      <c r="AL77" s="42">
        <f t="shared" si="37"/>
        <v>0.35743962518283945</v>
      </c>
      <c r="AZ77" s="8"/>
    </row>
    <row r="78" spans="1:52" x14ac:dyDescent="0.25">
      <c r="A78" s="40"/>
      <c r="B78" s="41">
        <f t="shared" si="13"/>
        <v>742.33349012725489</v>
      </c>
      <c r="C78" s="41">
        <f t="shared" si="13"/>
        <v>736.81056290870538</v>
      </c>
      <c r="D78" s="41">
        <f t="shared" si="13"/>
        <v>3.9563789424621696</v>
      </c>
      <c r="E78" s="41">
        <f t="shared" si="35"/>
        <v>16</v>
      </c>
      <c r="F78" s="41">
        <f t="shared" si="14"/>
        <v>16</v>
      </c>
      <c r="G78" s="41">
        <f t="shared" si="15"/>
        <v>296.98893381670564</v>
      </c>
      <c r="H78" s="25">
        <f t="shared" si="16"/>
        <v>0.08</v>
      </c>
      <c r="I78" s="226">
        <f t="shared" si="17"/>
        <v>4.4183417748396101</v>
      </c>
      <c r="J78" s="227">
        <f t="shared" si="38"/>
        <v>80</v>
      </c>
      <c r="K78" s="41">
        <f t="shared" si="18"/>
        <v>1</v>
      </c>
      <c r="L78" s="215">
        <f t="shared" si="19"/>
        <v>4.0363789424621697</v>
      </c>
      <c r="M78" s="215">
        <f t="shared" si="4"/>
        <v>3.9963789424621696</v>
      </c>
      <c r="N78" s="41">
        <f t="shared" si="20"/>
        <v>0.22544282271952021</v>
      </c>
      <c r="O78" s="41">
        <f t="shared" si="21"/>
        <v>7.3086420200680511</v>
      </c>
      <c r="P78" s="228">
        <f t="shared" si="22"/>
        <v>59.644179376628173</v>
      </c>
      <c r="Q78" s="41">
        <f t="shared" si="23"/>
        <v>208.28400014957049</v>
      </c>
      <c r="R78" s="41">
        <f t="shared" si="24"/>
        <v>933.64772366119189</v>
      </c>
      <c r="S78" s="215">
        <f t="shared" si="5"/>
        <v>3.0523629728085099E-2</v>
      </c>
      <c r="T78" s="215">
        <f t="shared" si="6"/>
        <v>0.2325408123730637</v>
      </c>
      <c r="U78" s="230">
        <f t="shared" si="25"/>
        <v>3.8763789424621695</v>
      </c>
      <c r="V78" s="230">
        <f t="shared" si="7"/>
        <v>3.9163789424621696</v>
      </c>
      <c r="W78" s="41">
        <f t="shared" si="26"/>
        <v>-0.22130088483704036</v>
      </c>
      <c r="X78" s="41">
        <f t="shared" si="27"/>
        <v>191.31554299925062</v>
      </c>
      <c r="Y78" s="41">
        <f t="shared" si="28"/>
        <v>57.280151420070467</v>
      </c>
      <c r="Z78" s="41">
        <f t="shared" si="29"/>
        <v>906.43458743348265</v>
      </c>
      <c r="AA78" s="230">
        <f t="shared" si="8"/>
        <v>2.8878663839848665E-2</v>
      </c>
      <c r="AB78" s="230">
        <f t="shared" si="30"/>
        <v>-0.22788180693472559</v>
      </c>
      <c r="AC78" s="41">
        <f t="shared" si="31"/>
        <v>0.2325408123730637</v>
      </c>
      <c r="AD78" s="41">
        <f t="shared" si="9"/>
        <v>0.34402563224754079</v>
      </c>
      <c r="AE78" s="41">
        <f t="shared" si="32"/>
        <v>-3.387350898355012E-2</v>
      </c>
      <c r="AF78" s="41">
        <f t="shared" si="10"/>
        <v>742.32639213760137</v>
      </c>
      <c r="AG78" s="41">
        <f t="shared" si="11"/>
        <v>736.57802209633235</v>
      </c>
      <c r="AH78" s="41">
        <f t="shared" si="33"/>
        <v>4.036319911184405</v>
      </c>
      <c r="AI78" s="41">
        <f t="shared" si="12"/>
        <v>249.06697299189219</v>
      </c>
      <c r="AJ78" s="41">
        <f t="shared" si="34"/>
        <v>1.4417443252488569</v>
      </c>
      <c r="AK78" s="8">
        <f t="shared" si="36"/>
        <v>0.77757675057183562</v>
      </c>
      <c r="AL78" s="42">
        <f t="shared" si="37"/>
        <v>0.37736498302219085</v>
      </c>
      <c r="AZ78" s="8"/>
    </row>
    <row r="79" spans="1:52" x14ac:dyDescent="0.25">
      <c r="A79" s="40"/>
      <c r="B79" s="41">
        <f t="shared" si="13"/>
        <v>742.32639213760137</v>
      </c>
      <c r="C79" s="41">
        <f t="shared" si="13"/>
        <v>736.57802209633235</v>
      </c>
      <c r="D79" s="41">
        <f t="shared" si="13"/>
        <v>4.036319911184405</v>
      </c>
      <c r="E79" s="41">
        <f t="shared" si="35"/>
        <v>16</v>
      </c>
      <c r="F79" s="41">
        <f t="shared" si="14"/>
        <v>16</v>
      </c>
      <c r="G79" s="41">
        <f t="shared" si="15"/>
        <v>314.99002079849151</v>
      </c>
      <c r="H79" s="25">
        <f t="shared" si="16"/>
        <v>0.08</v>
      </c>
      <c r="I79" s="226">
        <f t="shared" si="17"/>
        <v>4.598696033015222</v>
      </c>
      <c r="J79" s="227">
        <f t="shared" si="38"/>
        <v>80</v>
      </c>
      <c r="K79" s="41">
        <f t="shared" si="18"/>
        <v>1</v>
      </c>
      <c r="L79" s="215">
        <f t="shared" si="19"/>
        <v>4.1163199111844051</v>
      </c>
      <c r="M79" s="215">
        <f t="shared" si="4"/>
        <v>4.0763199111844051</v>
      </c>
      <c r="N79" s="41">
        <f t="shared" si="20"/>
        <v>0.22999462627664435</v>
      </c>
      <c r="O79" s="41">
        <f t="shared" si="21"/>
        <v>7.307745780574467</v>
      </c>
      <c r="P79" s="228">
        <f t="shared" si="22"/>
        <v>61.232960468229145</v>
      </c>
      <c r="Q79" s="41">
        <f t="shared" si="23"/>
        <v>225.93230199499908</v>
      </c>
      <c r="R79" s="41">
        <f t="shared" si="24"/>
        <v>950.39685141811117</v>
      </c>
      <c r="S79" s="215">
        <f t="shared" si="5"/>
        <v>3.2530437760642794E-2</v>
      </c>
      <c r="T79" s="215">
        <f t="shared" si="6"/>
        <v>0.23772802293054718</v>
      </c>
      <c r="U79" s="230">
        <f t="shared" si="25"/>
        <v>3.956319911184405</v>
      </c>
      <c r="V79" s="230">
        <f t="shared" si="7"/>
        <v>3.996319911184405</v>
      </c>
      <c r="W79" s="41">
        <f t="shared" si="26"/>
        <v>-0.22577580123571828</v>
      </c>
      <c r="X79" s="41">
        <f t="shared" si="27"/>
        <v>208.27122544394717</v>
      </c>
      <c r="Y79" s="41">
        <f t="shared" si="28"/>
        <v>58.853084632078911</v>
      </c>
      <c r="Z79" s="41">
        <f t="shared" si="29"/>
        <v>924.86256225578552</v>
      </c>
      <c r="AA79" s="230">
        <f t="shared" si="8"/>
        <v>3.0815459046436806E-2</v>
      </c>
      <c r="AB79" s="230">
        <f t="shared" si="30"/>
        <v>-0.23295439794528866</v>
      </c>
      <c r="AC79" s="41">
        <f t="shared" si="31"/>
        <v>0.23772802293054718</v>
      </c>
      <c r="AD79" s="41">
        <f t="shared" si="9"/>
        <v>0.33651901451841965</v>
      </c>
      <c r="AE79" s="41">
        <f t="shared" si="32"/>
        <v>-3.1924793503591571E-2</v>
      </c>
      <c r="AF79" s="41">
        <f t="shared" si="10"/>
        <v>742.31865874094751</v>
      </c>
      <c r="AG79" s="41">
        <f t="shared" si="11"/>
        <v>736.34029407340176</v>
      </c>
      <c r="AH79" s="41">
        <f t="shared" si="33"/>
        <v>4.1162753935826739</v>
      </c>
      <c r="AI79" s="41">
        <f t="shared" si="12"/>
        <v>250.13553293640146</v>
      </c>
      <c r="AJ79" s="41">
        <f t="shared" si="34"/>
        <v>1.5112264177311907</v>
      </c>
      <c r="AK79" s="8">
        <f t="shared" si="36"/>
        <v>0.85186423580829096</v>
      </c>
      <c r="AL79" s="42">
        <f t="shared" si="37"/>
        <v>0.39737582565710294</v>
      </c>
      <c r="AZ79" s="8"/>
    </row>
    <row r="80" spans="1:52" x14ac:dyDescent="0.25">
      <c r="A80" s="40"/>
      <c r="B80" s="41">
        <f t="shared" si="13"/>
        <v>742.31865874094751</v>
      </c>
      <c r="C80" s="41">
        <f t="shared" si="13"/>
        <v>736.34029407340176</v>
      </c>
      <c r="D80" s="41">
        <f t="shared" si="13"/>
        <v>4.1162753935826739</v>
      </c>
      <c r="E80" s="41">
        <f t="shared" si="35"/>
        <v>16</v>
      </c>
      <c r="F80" s="41">
        <f t="shared" si="14"/>
        <v>16</v>
      </c>
      <c r="G80" s="41">
        <f t="shared" si="15"/>
        <v>333.70757680249335</v>
      </c>
      <c r="H80" s="25">
        <f t="shared" si="16"/>
        <v>0.08</v>
      </c>
      <c r="I80" s="226">
        <f t="shared" si="17"/>
        <v>4.7826917340365984</v>
      </c>
      <c r="J80" s="227">
        <f t="shared" si="38"/>
        <v>80</v>
      </c>
      <c r="K80" s="41">
        <f t="shared" si="18"/>
        <v>1</v>
      </c>
      <c r="L80" s="215">
        <f t="shared" si="19"/>
        <v>4.196275393582674</v>
      </c>
      <c r="M80" s="215">
        <f t="shared" si="4"/>
        <v>4.1562753935826739</v>
      </c>
      <c r="N80" s="41">
        <f t="shared" si="20"/>
        <v>0.23454802545160192</v>
      </c>
      <c r="O80" s="41">
        <f t="shared" si="21"/>
        <v>7.3067693103569731</v>
      </c>
      <c r="P80" s="228">
        <f t="shared" si="22"/>
        <v>62.832424700497604</v>
      </c>
      <c r="Q80" s="41">
        <f t="shared" si="23"/>
        <v>244.28995910378757</v>
      </c>
      <c r="R80" s="41">
        <f t="shared" si="24"/>
        <v>966.15122749019054</v>
      </c>
      <c r="S80" s="215">
        <f t="shared" si="5"/>
        <v>3.4604701775635155E-2</v>
      </c>
      <c r="T80" s="215">
        <f t="shared" si="6"/>
        <v>0.24295542549565147</v>
      </c>
      <c r="U80" s="230">
        <f t="shared" si="25"/>
        <v>4.0362753935826738</v>
      </c>
      <c r="V80" s="230">
        <f t="shared" si="7"/>
        <v>4.0762753935826739</v>
      </c>
      <c r="W80" s="41">
        <f t="shared" si="26"/>
        <v>-0.23025076086196883</v>
      </c>
      <c r="X80" s="41">
        <f t="shared" si="27"/>
        <v>225.92227881924003</v>
      </c>
      <c r="Y80" s="41">
        <f t="shared" si="28"/>
        <v>60.436905848925122</v>
      </c>
      <c r="Z80" s="41">
        <f t="shared" si="29"/>
        <v>942.14889360633322</v>
      </c>
      <c r="AA80" s="230">
        <f t="shared" si="8"/>
        <v>3.2818151954981868E-2</v>
      </c>
      <c r="AB80" s="230">
        <f t="shared" si="30"/>
        <v>-0.23806356718478411</v>
      </c>
      <c r="AC80" s="41">
        <f t="shared" si="31"/>
        <v>0.24295542549565147</v>
      </c>
      <c r="AD80" s="41">
        <f t="shared" si="9"/>
        <v>0.32927850792709251</v>
      </c>
      <c r="AE80" s="41">
        <f t="shared" si="32"/>
        <v>-3.0125882699032852E-2</v>
      </c>
      <c r="AF80" s="41">
        <f t="shared" si="10"/>
        <v>742.31025134090351</v>
      </c>
      <c r="AG80" s="41">
        <f t="shared" si="11"/>
        <v>736.0973386479061</v>
      </c>
      <c r="AH80" s="41">
        <f t="shared" si="33"/>
        <v>4.1962450988696078</v>
      </c>
      <c r="AI80" s="41">
        <f t="shared" si="12"/>
        <v>251.46728439893042</v>
      </c>
      <c r="AJ80" s="41">
        <f t="shared" si="34"/>
        <v>1.581078441175338</v>
      </c>
      <c r="AK80" s="8">
        <f t="shared" si="36"/>
        <v>0.93107392095125019</v>
      </c>
      <c r="AL80" s="42">
        <f t="shared" si="37"/>
        <v>0.41749320840901738</v>
      </c>
      <c r="AZ80" s="8"/>
    </row>
    <row r="81" spans="1:52" x14ac:dyDescent="0.25">
      <c r="A81" s="40"/>
      <c r="B81" s="41">
        <f t="shared" si="13"/>
        <v>742.31025134090351</v>
      </c>
      <c r="C81" s="41">
        <f t="shared" si="13"/>
        <v>736.0973386479061</v>
      </c>
      <c r="D81" s="41">
        <f t="shared" si="13"/>
        <v>4.1962450988696078</v>
      </c>
      <c r="E81" s="41">
        <f t="shared" si="35"/>
        <v>16</v>
      </c>
      <c r="F81" s="41">
        <f t="shared" si="14"/>
        <v>16</v>
      </c>
      <c r="G81" s="41">
        <f t="shared" si="15"/>
        <v>353.15577645575786</v>
      </c>
      <c r="H81" s="25">
        <f t="shared" si="16"/>
        <v>0.08</v>
      </c>
      <c r="I81" s="226">
        <f t="shared" si="17"/>
        <v>4.9703301543979252</v>
      </c>
      <c r="J81" s="227">
        <f t="shared" si="38"/>
        <v>80</v>
      </c>
      <c r="K81" s="41">
        <f t="shared" si="18"/>
        <v>1</v>
      </c>
      <c r="L81" s="215">
        <f t="shared" si="19"/>
        <v>4.2762450988696079</v>
      </c>
      <c r="M81" s="215">
        <f t="shared" si="4"/>
        <v>4.2362450988696079</v>
      </c>
      <c r="N81" s="41">
        <f t="shared" si="20"/>
        <v>0.2391030040990092</v>
      </c>
      <c r="O81" s="41">
        <f t="shared" si="21"/>
        <v>7.3057077359780829</v>
      </c>
      <c r="P81" s="228">
        <f t="shared" si="22"/>
        <v>64.442438782335273</v>
      </c>
      <c r="Q81" s="41">
        <f t="shared" si="23"/>
        <v>263.37114124844481</v>
      </c>
      <c r="R81" s="41">
        <f t="shared" si="24"/>
        <v>980.99476129226639</v>
      </c>
      <c r="S81" s="215">
        <f t="shared" si="5"/>
        <v>3.6748465003173247E-2</v>
      </c>
      <c r="T81" s="215">
        <f t="shared" si="6"/>
        <v>0.24822488769747653</v>
      </c>
      <c r="U81" s="230">
        <f t="shared" si="25"/>
        <v>4.1162450988696078</v>
      </c>
      <c r="V81" s="230">
        <f t="shared" si="7"/>
        <v>4.1562450988696078</v>
      </c>
      <c r="W81" s="41">
        <f t="shared" si="26"/>
        <v>-0.23472574702623383</v>
      </c>
      <c r="X81" s="41">
        <f t="shared" si="27"/>
        <v>244.28286799548289</v>
      </c>
      <c r="Y81" s="41">
        <f t="shared" si="28"/>
        <v>62.031475265827574</v>
      </c>
      <c r="Z81" s="41">
        <f t="shared" si="29"/>
        <v>958.39399017669825</v>
      </c>
      <c r="AA81" s="230">
        <f t="shared" si="8"/>
        <v>3.4888848360597198E-2</v>
      </c>
      <c r="AB81" s="230">
        <f t="shared" si="30"/>
        <v>-0.24321110229377504</v>
      </c>
      <c r="AC81" s="41">
        <f t="shared" si="31"/>
        <v>0.24822488769747653</v>
      </c>
      <c r="AD81" s="41">
        <f t="shared" si="9"/>
        <v>0.32228839236096185</v>
      </c>
      <c r="AE81" s="41">
        <f t="shared" si="32"/>
        <v>-2.8462523347845197E-2</v>
      </c>
      <c r="AF81" s="41">
        <f t="shared" si="10"/>
        <v>742.30112945730502</v>
      </c>
      <c r="AG81" s="41">
        <f t="shared" si="11"/>
        <v>735.84911376020864</v>
      </c>
      <c r="AH81" s="41">
        <f t="shared" si="33"/>
        <v>4.2762287525156539</v>
      </c>
      <c r="AI81" s="41">
        <f t="shared" si="12"/>
        <v>253.03385654219949</v>
      </c>
      <c r="AJ81" s="41">
        <f t="shared" si="34"/>
        <v>1.6513656235481713</v>
      </c>
      <c r="AK81" s="8">
        <f t="shared" si="36"/>
        <v>1.0155132360669372</v>
      </c>
      <c r="AL81" s="42">
        <f t="shared" si="37"/>
        <v>0.43773591693239333</v>
      </c>
      <c r="AZ81" s="8"/>
    </row>
    <row r="82" spans="1:52" x14ac:dyDescent="0.25">
      <c r="A82" s="40"/>
      <c r="B82" s="41">
        <f t="shared" si="13"/>
        <v>742.30112945730502</v>
      </c>
      <c r="C82" s="41">
        <f t="shared" si="13"/>
        <v>735.84911376020864</v>
      </c>
      <c r="D82" s="41">
        <f t="shared" si="13"/>
        <v>4.2762287525156539</v>
      </c>
      <c r="E82" s="41">
        <f t="shared" si="35"/>
        <v>16</v>
      </c>
      <c r="F82" s="41">
        <f t="shared" si="14"/>
        <v>16</v>
      </c>
      <c r="G82" s="41">
        <f t="shared" si="15"/>
        <v>373.34880284612399</v>
      </c>
      <c r="H82" s="25">
        <f t="shared" si="16"/>
        <v>0.08</v>
      </c>
      <c r="I82" s="226">
        <f t="shared" si="17"/>
        <v>5.1616125576771088</v>
      </c>
      <c r="J82" s="227">
        <f t="shared" si="38"/>
        <v>80</v>
      </c>
      <c r="K82" s="41">
        <f t="shared" si="18"/>
        <v>1</v>
      </c>
      <c r="L82" s="215">
        <f t="shared" si="19"/>
        <v>4.356228752515654</v>
      </c>
      <c r="M82" s="215">
        <f t="shared" si="4"/>
        <v>4.316228752515654</v>
      </c>
      <c r="N82" s="41">
        <f t="shared" si="20"/>
        <v>0.24365954698864023</v>
      </c>
      <c r="O82" s="41">
        <f t="shared" si="21"/>
        <v>7.304555946142381</v>
      </c>
      <c r="P82" s="228">
        <f t="shared" si="22"/>
        <v>66.062873646569642</v>
      </c>
      <c r="Q82" s="41">
        <f t="shared" si="23"/>
        <v>283.19002668490754</v>
      </c>
      <c r="R82" s="41">
        <f t="shared" si="24"/>
        <v>995.0022666291718</v>
      </c>
      <c r="S82" s="215">
        <f t="shared" si="5"/>
        <v>3.8963688674779999E-2</v>
      </c>
      <c r="T82" s="215">
        <f t="shared" si="6"/>
        <v>0.25353833577073287</v>
      </c>
      <c r="U82" s="230">
        <f t="shared" si="25"/>
        <v>4.1962287525156539</v>
      </c>
      <c r="V82" s="230">
        <f t="shared" si="7"/>
        <v>4.2362287525156539</v>
      </c>
      <c r="W82" s="41">
        <f t="shared" si="26"/>
        <v>-0.23920074395960889</v>
      </c>
      <c r="X82" s="41">
        <f t="shared" si="27"/>
        <v>263.36716637605917</v>
      </c>
      <c r="Y82" s="41">
        <f t="shared" si="28"/>
        <v>63.636657626390381</v>
      </c>
      <c r="Z82" s="41">
        <f t="shared" si="29"/>
        <v>973.68692034899289</v>
      </c>
      <c r="AA82" s="230">
        <f t="shared" si="8"/>
        <v>3.7029553489536543E-2</v>
      </c>
      <c r="AB82" s="230">
        <f t="shared" si="30"/>
        <v>-0.24839884217257727</v>
      </c>
      <c r="AC82" s="41">
        <f t="shared" si="31"/>
        <v>0.25353833577073287</v>
      </c>
      <c r="AD82" s="41">
        <f t="shared" si="9"/>
        <v>0.31553413710320166</v>
      </c>
      <c r="AE82" s="41">
        <f t="shared" si="32"/>
        <v>-2.6922081738372454E-2</v>
      </c>
      <c r="AF82" s="41">
        <f t="shared" si="10"/>
        <v>742.29125066852293</v>
      </c>
      <c r="AG82" s="41">
        <f t="shared" si="11"/>
        <v>735.59557542443792</v>
      </c>
      <c r="AH82" s="41">
        <f t="shared" si="33"/>
        <v>4.3562260950634322</v>
      </c>
      <c r="AI82" s="41">
        <f t="shared" si="12"/>
        <v>254.81181729330098</v>
      </c>
      <c r="AJ82" s="41">
        <f t="shared" si="34"/>
        <v>1.7221466839074215</v>
      </c>
      <c r="AK82" s="8">
        <f t="shared" si="36"/>
        <v>1.1055015012532556</v>
      </c>
      <c r="AL82" s="42">
        <f t="shared" si="37"/>
        <v>0.45812086231585741</v>
      </c>
      <c r="AZ82" s="8"/>
    </row>
    <row r="83" spans="1:52" x14ac:dyDescent="0.25">
      <c r="A83" s="40"/>
      <c r="B83" s="41">
        <f t="shared" si="13"/>
        <v>742.29125066852293</v>
      </c>
      <c r="C83" s="41">
        <f t="shared" si="13"/>
        <v>735.59557542443792</v>
      </c>
      <c r="D83" s="41">
        <f t="shared" si="13"/>
        <v>4.3562260950634322</v>
      </c>
      <c r="E83" s="41">
        <f t="shared" si="35"/>
        <v>16</v>
      </c>
      <c r="F83" s="41">
        <f t="shared" si="14"/>
        <v>16</v>
      </c>
      <c r="G83" s="41">
        <f t="shared" si="15"/>
        <v>394.30084747859405</v>
      </c>
      <c r="H83" s="25">
        <f t="shared" si="16"/>
        <v>0.08</v>
      </c>
      <c r="I83" s="226">
        <f t="shared" si="17"/>
        <v>5.3565401952680078</v>
      </c>
      <c r="J83" s="227">
        <f t="shared" si="38"/>
        <v>80</v>
      </c>
      <c r="K83" s="41">
        <f t="shared" si="18"/>
        <v>1</v>
      </c>
      <c r="L83" s="215">
        <f t="shared" si="19"/>
        <v>4.4362260950634322</v>
      </c>
      <c r="M83" s="215">
        <f t="shared" si="4"/>
        <v>4.3962260950634322</v>
      </c>
      <c r="N83" s="41">
        <f t="shared" si="20"/>
        <v>0.24821763973862332</v>
      </c>
      <c r="O83" s="41">
        <f t="shared" si="21"/>
        <v>7.3033085844121626</v>
      </c>
      <c r="P83" s="228">
        <f t="shared" si="22"/>
        <v>67.693604241047694</v>
      </c>
      <c r="Q83" s="41">
        <f t="shared" si="23"/>
        <v>303.76080210756777</v>
      </c>
      <c r="R83" s="41">
        <f t="shared" si="24"/>
        <v>1008.2406570204186</v>
      </c>
      <c r="S83" s="215">
        <f t="shared" si="5"/>
        <v>4.1252272084537397E-2</v>
      </c>
      <c r="T83" s="215">
        <f t="shared" si="6"/>
        <v>0.25889776060101377</v>
      </c>
      <c r="U83" s="230">
        <f t="shared" si="25"/>
        <v>4.2762260950634321</v>
      </c>
      <c r="V83" s="230">
        <f t="shared" si="7"/>
        <v>4.3162260950634321</v>
      </c>
      <c r="W83" s="41">
        <f t="shared" si="26"/>
        <v>-0.2436757367467326</v>
      </c>
      <c r="X83" s="41">
        <f t="shared" si="27"/>
        <v>283.18935584959883</v>
      </c>
      <c r="Y83" s="41">
        <f t="shared" si="28"/>
        <v>65.25232199190819</v>
      </c>
      <c r="Z83" s="41">
        <f t="shared" si="29"/>
        <v>988.10696365652029</v>
      </c>
      <c r="AA83" s="230">
        <f t="shared" si="8"/>
        <v>3.9242197077930766E-2</v>
      </c>
      <c r="AB83" s="230">
        <f t="shared" si="30"/>
        <v>-0.25362868353045065</v>
      </c>
      <c r="AC83" s="41">
        <f t="shared" si="31"/>
        <v>0.25889776060101377</v>
      </c>
      <c r="AD83" s="41">
        <f t="shared" si="9"/>
        <v>0.30900228651760203</v>
      </c>
      <c r="AE83" s="41">
        <f t="shared" si="32"/>
        <v>-2.5493327389884336E-2</v>
      </c>
      <c r="AF83" s="41">
        <f t="shared" si="10"/>
        <v>742.28057054766055</v>
      </c>
      <c r="AG83" s="41">
        <f t="shared" si="11"/>
        <v>735.33667766383689</v>
      </c>
      <c r="AH83" s="41">
        <f t="shared" si="33"/>
        <v>4.4362368810480053</v>
      </c>
      <c r="AI83" s="41">
        <f t="shared" si="12"/>
        <v>256.78171059488494</v>
      </c>
      <c r="AJ83" s="41">
        <f t="shared" si="34"/>
        <v>1.7934749368504452</v>
      </c>
      <c r="AK83" s="8">
        <f t="shared" si="36"/>
        <v>1.2013706454966357</v>
      </c>
      <c r="AL83" s="42">
        <f t="shared" si="37"/>
        <v>0.47866339916344819</v>
      </c>
      <c r="AZ83" s="8"/>
    </row>
    <row r="84" spans="1:52" x14ac:dyDescent="0.25">
      <c r="A84" s="40"/>
      <c r="B84" s="41">
        <f t="shared" si="13"/>
        <v>742.28057054766055</v>
      </c>
      <c r="C84" s="41">
        <f t="shared" si="13"/>
        <v>735.33667766383689</v>
      </c>
      <c r="D84" s="41">
        <f t="shared" si="13"/>
        <v>4.4362368810480053</v>
      </c>
      <c r="E84" s="41">
        <f t="shared" si="35"/>
        <v>16</v>
      </c>
      <c r="F84" s="41">
        <f t="shared" si="14"/>
        <v>16</v>
      </c>
      <c r="G84" s="41">
        <f t="shared" si="15"/>
        <v>416.02611023419911</v>
      </c>
      <c r="H84" s="25">
        <f t="shared" si="16"/>
        <v>0.08</v>
      </c>
      <c r="I84" s="226">
        <f t="shared" si="17"/>
        <v>5.5551143070589211</v>
      </c>
      <c r="J84" s="227">
        <f t="shared" si="38"/>
        <v>80</v>
      </c>
      <c r="K84" s="41">
        <f t="shared" si="18"/>
        <v>1</v>
      </c>
      <c r="L84" s="215">
        <f t="shared" si="19"/>
        <v>4.5162368810480054</v>
      </c>
      <c r="M84" s="215">
        <f t="shared" si="4"/>
        <v>4.4762368810480053</v>
      </c>
      <c r="N84" s="41">
        <f t="shared" si="20"/>
        <v>0.25277726875462925</v>
      </c>
      <c r="O84" s="41">
        <f t="shared" si="21"/>
        <v>7.301960041151272</v>
      </c>
      <c r="P84" s="228">
        <f t="shared" si="22"/>
        <v>69.33450933365188</v>
      </c>
      <c r="Q84" s="41">
        <f t="shared" si="23"/>
        <v>325.09766260688951</v>
      </c>
      <c r="R84" s="41">
        <f t="shared" si="24"/>
        <v>1020.7699576711534</v>
      </c>
      <c r="S84" s="215">
        <f t="shared" si="5"/>
        <v>4.3616068394575873E-2</v>
      </c>
      <c r="T84" s="215">
        <f t="shared" si="6"/>
        <v>0.26430522345801782</v>
      </c>
      <c r="U84" s="230">
        <f t="shared" si="25"/>
        <v>4.3562368810480052</v>
      </c>
      <c r="V84" s="230">
        <f t="shared" si="7"/>
        <v>4.3962368810480053</v>
      </c>
      <c r="W84" s="41">
        <f t="shared" si="26"/>
        <v>-0.24815071126468879</v>
      </c>
      <c r="X84" s="41">
        <f t="shared" si="27"/>
        <v>303.76362674498898</v>
      </c>
      <c r="Y84" s="41">
        <f t="shared" si="28"/>
        <v>66.878341526420485</v>
      </c>
      <c r="Z84" s="41">
        <f t="shared" si="29"/>
        <v>1001.7249147227833</v>
      </c>
      <c r="AA84" s="230">
        <f t="shared" si="8"/>
        <v>4.1528652707629142E-2</v>
      </c>
      <c r="AB84" s="230">
        <f t="shared" si="30"/>
        <v>-0.25890258688034962</v>
      </c>
      <c r="AC84" s="41">
        <f t="shared" si="31"/>
        <v>0.26430522345801782</v>
      </c>
      <c r="AD84" s="41">
        <f t="shared" si="9"/>
        <v>0.30268035929568826</v>
      </c>
      <c r="AE84" s="41">
        <f t="shared" si="32"/>
        <v>-2.4166250631324705E-2</v>
      </c>
      <c r="AF84" s="41">
        <f t="shared" si="10"/>
        <v>742.26904259295713</v>
      </c>
      <c r="AG84" s="41">
        <f t="shared" si="11"/>
        <v>735.0723724403789</v>
      </c>
      <c r="AH84" s="41">
        <f t="shared" si="33"/>
        <v>4.5162608780121056</v>
      </c>
      <c r="AI84" s="41">
        <f t="shared" si="12"/>
        <v>258.92731410416877</v>
      </c>
      <c r="AJ84" s="41">
        <f t="shared" si="34"/>
        <v>1.8653991907682699</v>
      </c>
      <c r="AK84" s="8">
        <f t="shared" si="36"/>
        <v>1.3034659048832655</v>
      </c>
      <c r="AL84" s="42">
        <f t="shared" si="37"/>
        <v>0.4993775842917817</v>
      </c>
      <c r="AZ84" s="8"/>
    </row>
    <row r="85" spans="1:52" x14ac:dyDescent="0.25">
      <c r="A85" s="40"/>
      <c r="B85" s="41">
        <f t="shared" si="13"/>
        <v>742.26904259295713</v>
      </c>
      <c r="C85" s="41">
        <f t="shared" si="13"/>
        <v>735.0723724403789</v>
      </c>
      <c r="D85" s="41">
        <f t="shared" si="13"/>
        <v>4.5162608780121056</v>
      </c>
      <c r="E85" s="41">
        <f t="shared" si="35"/>
        <v>16</v>
      </c>
      <c r="F85" s="41">
        <f t="shared" si="14"/>
        <v>16</v>
      </c>
      <c r="G85" s="41">
        <f t="shared" si="15"/>
        <v>438.53879933122408</v>
      </c>
      <c r="H85" s="25">
        <f t="shared" si="16"/>
        <v>0.08</v>
      </c>
      <c r="I85" s="226">
        <f t="shared" si="17"/>
        <v>5.7573361220625889</v>
      </c>
      <c r="J85" s="227">
        <f t="shared" si="38"/>
        <v>80</v>
      </c>
      <c r="K85" s="41">
        <f t="shared" si="18"/>
        <v>1</v>
      </c>
      <c r="L85" s="215">
        <f t="shared" si="19"/>
        <v>4.5962608780121057</v>
      </c>
      <c r="M85" s="215">
        <f t="shared" si="4"/>
        <v>4.5562608780121057</v>
      </c>
      <c r="N85" s="41">
        <f t="shared" si="20"/>
        <v>0.25733842117439742</v>
      </c>
      <c r="O85" s="41">
        <f t="shared" si="21"/>
        <v>7.3005044447373884</v>
      </c>
      <c r="P85" s="228">
        <f t="shared" si="22"/>
        <v>70.985471330083556</v>
      </c>
      <c r="Q85" s="41">
        <f t="shared" si="23"/>
        <v>347.21481162947561</v>
      </c>
      <c r="R85" s="41">
        <f t="shared" si="24"/>
        <v>1032.644166056534</v>
      </c>
      <c r="S85" s="215">
        <f t="shared" si="5"/>
        <v>4.6056897303617825E-2</v>
      </c>
      <c r="T85" s="215">
        <f t="shared" si="6"/>
        <v>0.26976286158683221</v>
      </c>
      <c r="U85" s="230">
        <f t="shared" si="25"/>
        <v>4.4362608780121056</v>
      </c>
      <c r="V85" s="230">
        <f t="shared" si="7"/>
        <v>4.4762608780121056</v>
      </c>
      <c r="W85" s="41">
        <f t="shared" si="26"/>
        <v>-0.25262565412728755</v>
      </c>
      <c r="X85" s="41">
        <f t="shared" si="27"/>
        <v>325.10417778902104</v>
      </c>
      <c r="Y85" s="41">
        <f t="shared" si="28"/>
        <v>68.514593296177878</v>
      </c>
      <c r="Z85" s="41">
        <f t="shared" si="29"/>
        <v>1014.6041845222726</v>
      </c>
      <c r="AA85" s="230">
        <f t="shared" si="8"/>
        <v>4.3890752986522653E-2</v>
      </c>
      <c r="AB85" s="230">
        <f t="shared" si="30"/>
        <v>-0.26422258221682748</v>
      </c>
      <c r="AC85" s="41">
        <f t="shared" si="31"/>
        <v>0.26976286158683221</v>
      </c>
      <c r="AD85" s="41">
        <f t="shared" si="9"/>
        <v>0.29655675925668262</v>
      </c>
      <c r="AE85" s="41">
        <f t="shared" si="32"/>
        <v>-2.2931907786593878E-2</v>
      </c>
      <c r="AF85" s="41">
        <f t="shared" si="10"/>
        <v>742.25661815254466</v>
      </c>
      <c r="AG85" s="41">
        <f t="shared" si="11"/>
        <v>734.80260957879204</v>
      </c>
      <c r="AH85" s="41">
        <f t="shared" si="33"/>
        <v>4.596297865606509</v>
      </c>
      <c r="AI85" s="41">
        <f t="shared" si="12"/>
        <v>261.23506087968696</v>
      </c>
      <c r="AJ85" s="41">
        <f t="shared" si="34"/>
        <v>1.9379644854570719</v>
      </c>
      <c r="AK85" s="8">
        <f t="shared" si="36"/>
        <v>1.412146511117836</v>
      </c>
      <c r="AL85" s="42">
        <f t="shared" si="37"/>
        <v>0.52027638916215668</v>
      </c>
      <c r="AZ85" s="8"/>
    </row>
    <row r="86" spans="1:52" x14ac:dyDescent="0.25">
      <c r="A86" s="40"/>
      <c r="B86" s="41">
        <f t="shared" si="13"/>
        <v>742.25661815254466</v>
      </c>
      <c r="C86" s="41">
        <f t="shared" si="13"/>
        <v>734.80260957879204</v>
      </c>
      <c r="D86" s="41">
        <f t="shared" si="13"/>
        <v>4.596297865606509</v>
      </c>
      <c r="E86" s="41">
        <f t="shared" si="35"/>
        <v>16</v>
      </c>
      <c r="F86" s="41">
        <f t="shared" si="14"/>
        <v>16</v>
      </c>
      <c r="G86" s="41">
        <f t="shared" si="15"/>
        <v>461.85313128864459</v>
      </c>
      <c r="H86" s="25">
        <f t="shared" si="16"/>
        <v>0.08</v>
      </c>
      <c r="I86" s="226">
        <f t="shared" si="17"/>
        <v>5.9632068590020939</v>
      </c>
      <c r="J86" s="227">
        <f t="shared" si="38"/>
        <v>80</v>
      </c>
      <c r="K86" s="41">
        <f t="shared" si="18"/>
        <v>1</v>
      </c>
      <c r="L86" s="215">
        <f t="shared" si="19"/>
        <v>4.6762978656065091</v>
      </c>
      <c r="M86" s="215">
        <f t="shared" si="4"/>
        <v>4.636297865606509</v>
      </c>
      <c r="N86" s="41">
        <f t="shared" si="20"/>
        <v>0.26190108481708663</v>
      </c>
      <c r="O86" s="41">
        <f t="shared" si="21"/>
        <v>7.2989356520613065</v>
      </c>
      <c r="P86" s="228">
        <f t="shared" si="22"/>
        <v>72.646376103370173</v>
      </c>
      <c r="Q86" s="41">
        <f t="shared" si="23"/>
        <v>370.12646094042395</v>
      </c>
      <c r="R86" s="41">
        <f t="shared" si="24"/>
        <v>1043.9119868746034</v>
      </c>
      <c r="S86" s="215">
        <f t="shared" si="5"/>
        <v>4.8576555382850252E-2</v>
      </c>
      <c r="T86" s="215">
        <f t="shared" si="6"/>
        <v>0.27527289378755526</v>
      </c>
      <c r="U86" s="230">
        <f t="shared" si="25"/>
        <v>4.5162978656065089</v>
      </c>
      <c r="V86" s="230">
        <f t="shared" si="7"/>
        <v>4.556297865606509</v>
      </c>
      <c r="W86" s="41">
        <f t="shared" si="26"/>
        <v>-0.25710055263412457</v>
      </c>
      <c r="X86" s="41">
        <f t="shared" si="27"/>
        <v>347.22521606649741</v>
      </c>
      <c r="Y86" s="41">
        <f t="shared" si="28"/>
        <v>70.160958082315091</v>
      </c>
      <c r="Z86" s="41">
        <f t="shared" si="29"/>
        <v>1026.8017347593288</v>
      </c>
      <c r="AA86" s="230">
        <f t="shared" si="8"/>
        <v>4.6330301688440399E-2</v>
      </c>
      <c r="AB86" s="230">
        <f t="shared" si="30"/>
        <v>-0.26959077455151664</v>
      </c>
      <c r="AC86" s="41">
        <f t="shared" si="31"/>
        <v>0.27527289378755526</v>
      </c>
      <c r="AD86" s="41">
        <f t="shared" si="9"/>
        <v>0.29062069606366997</v>
      </c>
      <c r="AE86" s="41">
        <f t="shared" si="32"/>
        <v>-2.1782289086466063E-2</v>
      </c>
      <c r="AF86" s="41">
        <f t="shared" si="10"/>
        <v>742.24324634357424</v>
      </c>
      <c r="AG86" s="41">
        <f t="shared" si="11"/>
        <v>734.52733668500446</v>
      </c>
      <c r="AH86" s="41">
        <f t="shared" si="33"/>
        <v>4.6763476347666479</v>
      </c>
      <c r="AI86" s="41">
        <f t="shared" si="12"/>
        <v>263.69358456329473</v>
      </c>
      <c r="AJ86" s="41">
        <f t="shared" si="34"/>
        <v>2.0112127033913203</v>
      </c>
      <c r="AK86" s="8">
        <f t="shared" si="36"/>
        <v>1.5277863790835697</v>
      </c>
      <c r="AL86" s="42">
        <f t="shared" si="37"/>
        <v>0.54137187592722025</v>
      </c>
      <c r="AZ86" s="8"/>
    </row>
    <row r="87" spans="1:52" x14ac:dyDescent="0.25">
      <c r="A87" s="40"/>
      <c r="B87" s="41">
        <f t="shared" si="13"/>
        <v>742.24324634357424</v>
      </c>
      <c r="C87" s="41">
        <f t="shared" si="13"/>
        <v>734.52733668500446</v>
      </c>
      <c r="D87" s="41">
        <f t="shared" si="13"/>
        <v>4.6763476347666479</v>
      </c>
      <c r="E87" s="41">
        <f t="shared" si="35"/>
        <v>16</v>
      </c>
      <c r="F87" s="41">
        <f t="shared" si="14"/>
        <v>16</v>
      </c>
      <c r="G87" s="41">
        <f t="shared" si="15"/>
        <v>485.9833308915488</v>
      </c>
      <c r="H87" s="25">
        <f t="shared" si="16"/>
        <v>0.08</v>
      </c>
      <c r="I87" s="226">
        <f t="shared" si="17"/>
        <v>6.1727277268558289</v>
      </c>
      <c r="J87" s="227">
        <f t="shared" si="38"/>
        <v>80</v>
      </c>
      <c r="K87" s="41">
        <f t="shared" si="18"/>
        <v>1</v>
      </c>
      <c r="L87" s="215">
        <f t="shared" si="19"/>
        <v>4.756347634766648</v>
      </c>
      <c r="M87" s="215">
        <f t="shared" si="4"/>
        <v>4.716347634766648</v>
      </c>
      <c r="N87" s="41">
        <f t="shared" si="20"/>
        <v>0.26646524813689254</v>
      </c>
      <c r="O87" s="41">
        <f t="shared" si="21"/>
        <v>7.2972472383153084</v>
      </c>
      <c r="P87" s="228">
        <f t="shared" si="22"/>
        <v>74.317112834148745</v>
      </c>
      <c r="Q87" s="41">
        <f t="shared" si="23"/>
        <v>393.84683058774669</v>
      </c>
      <c r="R87" s="41">
        <f t="shared" si="24"/>
        <v>1054.6174622362203</v>
      </c>
      <c r="S87" s="215">
        <f t="shared" si="5"/>
        <v>5.1176824665820596E-2</v>
      </c>
      <c r="T87" s="215">
        <f t="shared" si="6"/>
        <v>0.28083762608669671</v>
      </c>
      <c r="U87" s="230">
        <f t="shared" si="25"/>
        <v>4.5963476347666479</v>
      </c>
      <c r="V87" s="230">
        <f t="shared" si="7"/>
        <v>4.6363476347666479</v>
      </c>
      <c r="W87" s="41">
        <f t="shared" si="26"/>
        <v>-0.26157539472399094</v>
      </c>
      <c r="X87" s="41">
        <f t="shared" si="27"/>
        <v>370.14095698255733</v>
      </c>
      <c r="Y87" s="41">
        <f t="shared" si="28"/>
        <v>71.817320205640087</v>
      </c>
      <c r="Z87" s="41">
        <f t="shared" si="29"/>
        <v>1038.3688741167189</v>
      </c>
      <c r="AA87" s="230">
        <f t="shared" si="8"/>
        <v>4.8849083648694724E-2</v>
      </c>
      <c r="AB87" s="230">
        <f t="shared" si="30"/>
        <v>-0.27500934943890515</v>
      </c>
      <c r="AC87" s="41">
        <f t="shared" si="31"/>
        <v>0.28083762608669671</v>
      </c>
      <c r="AD87" s="41">
        <f t="shared" si="9"/>
        <v>0.28486211450634963</v>
      </c>
      <c r="AE87" s="41">
        <f t="shared" si="32"/>
        <v>-2.0710205441258241E-2</v>
      </c>
      <c r="AF87" s="41">
        <f t="shared" si="10"/>
        <v>742.22887396562442</v>
      </c>
      <c r="AG87" s="41">
        <f t="shared" si="11"/>
        <v>734.24649905891772</v>
      </c>
      <c r="AH87" s="41">
        <f t="shared" si="33"/>
        <v>4.7564099869579648</v>
      </c>
      <c r="AI87" s="41">
        <f t="shared" si="12"/>
        <v>266.29335862807176</v>
      </c>
      <c r="AJ87" s="41">
        <f t="shared" si="34"/>
        <v>2.0851830807880067</v>
      </c>
      <c r="AK87" s="8">
        <f t="shared" si="36"/>
        <v>1.6507748006073146</v>
      </c>
      <c r="AL87" s="42">
        <f t="shared" si="37"/>
        <v>0.56267534461746593</v>
      </c>
      <c r="AZ87" s="8"/>
    </row>
    <row r="88" spans="1:52" x14ac:dyDescent="0.25">
      <c r="A88" s="40"/>
      <c r="B88" s="41">
        <f t="shared" si="13"/>
        <v>742.22887396562442</v>
      </c>
      <c r="C88" s="41">
        <f t="shared" si="13"/>
        <v>734.24649905891772</v>
      </c>
      <c r="D88" s="41">
        <f t="shared" si="13"/>
        <v>4.7564099869579648</v>
      </c>
      <c r="E88" s="41">
        <f t="shared" si="35"/>
        <v>16</v>
      </c>
      <c r="F88" s="41">
        <f t="shared" si="14"/>
        <v>16</v>
      </c>
      <c r="G88" s="41">
        <f t="shared" si="15"/>
        <v>510.94363115844834</v>
      </c>
      <c r="H88" s="25">
        <f t="shared" si="16"/>
        <v>0.08</v>
      </c>
      <c r="I88" s="226">
        <f t="shared" si="17"/>
        <v>6.385899925365357</v>
      </c>
      <c r="J88" s="227">
        <f t="shared" si="38"/>
        <v>80</v>
      </c>
      <c r="K88" s="41">
        <f t="shared" si="18"/>
        <v>1</v>
      </c>
      <c r="L88" s="215">
        <f t="shared" si="19"/>
        <v>4.8364099869579649</v>
      </c>
      <c r="M88" s="215">
        <f t="shared" si="4"/>
        <v>4.7964099869579648</v>
      </c>
      <c r="N88" s="41">
        <f t="shared" si="20"/>
        <v>0.27103090018055198</v>
      </c>
      <c r="O88" s="41">
        <f t="shared" si="21"/>
        <v>7.2954324860595099</v>
      </c>
      <c r="P88" s="228">
        <f t="shared" si="22"/>
        <v>75.997573860876557</v>
      </c>
      <c r="Q88" s="41">
        <f t="shared" si="23"/>
        <v>418.3901488687456</v>
      </c>
      <c r="R88" s="41">
        <f t="shared" si="24"/>
        <v>1064.8005140927476</v>
      </c>
      <c r="S88" s="215">
        <f t="shared" si="5"/>
        <v>5.3859479926382021E-2</v>
      </c>
      <c r="T88" s="215">
        <f t="shared" si="6"/>
        <v>0.28645945758613472</v>
      </c>
      <c r="U88" s="230">
        <f t="shared" si="25"/>
        <v>4.6764099869579647</v>
      </c>
      <c r="V88" s="230">
        <f t="shared" si="7"/>
        <v>4.7164099869579648</v>
      </c>
      <c r="W88" s="41">
        <f t="shared" si="26"/>
        <v>-0.26605016893217304</v>
      </c>
      <c r="X88" s="41">
        <f t="shared" si="27"/>
        <v>393.86562422710188</v>
      </c>
      <c r="Y88" s="41">
        <f t="shared" si="28"/>
        <v>73.483567362562766</v>
      </c>
      <c r="Z88" s="41">
        <f t="shared" si="29"/>
        <v>1049.3519396028962</v>
      </c>
      <c r="AA88" s="230">
        <f t="shared" si="8"/>
        <v>5.1448872992375112E-2</v>
      </c>
      <c r="AB88" s="230">
        <f t="shared" si="30"/>
        <v>-0.2804805785972509</v>
      </c>
      <c r="AC88" s="41">
        <f t="shared" si="31"/>
        <v>0.28645945758613472</v>
      </c>
      <c r="AD88" s="41">
        <f t="shared" si="9"/>
        <v>0.27927163122531928</v>
      </c>
      <c r="AE88" s="41">
        <f t="shared" si="32"/>
        <v>-1.9709190975691526E-2</v>
      </c>
      <c r="AF88" s="41">
        <f t="shared" si="10"/>
        <v>742.21344540821883</v>
      </c>
      <c r="AG88" s="41">
        <f t="shared" si="11"/>
        <v>733.96003960133157</v>
      </c>
      <c r="AH88" s="41">
        <f t="shared" si="33"/>
        <v>4.836484733483446</v>
      </c>
      <c r="AI88" s="41">
        <f t="shared" si="12"/>
        <v>269.02640804057984</v>
      </c>
      <c r="AJ88" s="41">
        <f t="shared" si="34"/>
        <v>2.1599126385770568</v>
      </c>
      <c r="AK88" s="8">
        <f t="shared" si="36"/>
        <v>1.7815171504846645</v>
      </c>
      <c r="AL88" s="42">
        <f t="shared" si="37"/>
        <v>0.58419745726071237</v>
      </c>
      <c r="AZ88" s="8"/>
    </row>
    <row r="89" spans="1:52" x14ac:dyDescent="0.25">
      <c r="A89" s="40"/>
      <c r="B89" s="41">
        <f t="shared" si="13"/>
        <v>742.21344540821883</v>
      </c>
      <c r="C89" s="41">
        <f t="shared" si="13"/>
        <v>733.96003960133157</v>
      </c>
      <c r="D89" s="41">
        <f t="shared" si="13"/>
        <v>4.836484733483446</v>
      </c>
      <c r="E89" s="41">
        <f t="shared" si="35"/>
        <v>16</v>
      </c>
      <c r="F89" s="41">
        <f t="shared" si="14"/>
        <v>16</v>
      </c>
      <c r="G89" s="41">
        <f t="shared" si="15"/>
        <v>536.74827331041865</v>
      </c>
      <c r="H89" s="25">
        <f t="shared" si="16"/>
        <v>0.08</v>
      </c>
      <c r="I89" s="226">
        <f t="shared" si="17"/>
        <v>6.6027246455098068</v>
      </c>
      <c r="J89" s="227">
        <f t="shared" si="38"/>
        <v>80</v>
      </c>
      <c r="K89" s="41">
        <f t="shared" si="18"/>
        <v>1</v>
      </c>
      <c r="L89" s="215">
        <f t="shared" si="19"/>
        <v>4.9164847334834461</v>
      </c>
      <c r="M89" s="215">
        <f t="shared" si="4"/>
        <v>4.876484733483446</v>
      </c>
      <c r="N89" s="41">
        <f t="shared" si="20"/>
        <v>0.2755980305483412</v>
      </c>
      <c r="O89" s="41">
        <f t="shared" si="21"/>
        <v>7.2934843735444312</v>
      </c>
      <c r="P89" s="228">
        <f t="shared" si="22"/>
        <v>77.687654539202285</v>
      </c>
      <c r="Q89" s="41">
        <f t="shared" si="23"/>
        <v>443.7706522982769</v>
      </c>
      <c r="R89" s="41">
        <f t="shared" si="24"/>
        <v>1074.497412822333</v>
      </c>
      <c r="S89" s="215">
        <f t="shared" si="5"/>
        <v>5.6626294970202579E-2</v>
      </c>
      <c r="T89" s="215">
        <f t="shared" si="6"/>
        <v>0.29214088656375697</v>
      </c>
      <c r="U89" s="230">
        <f t="shared" si="25"/>
        <v>4.7564847334834459</v>
      </c>
      <c r="V89" s="230">
        <f t="shared" si="7"/>
        <v>4.796484733483446</v>
      </c>
      <c r="W89" s="41">
        <f t="shared" si="26"/>
        <v>-0.27052486435121637</v>
      </c>
      <c r="X89" s="41">
        <f t="shared" si="27"/>
        <v>418.41344974123791</v>
      </c>
      <c r="Y89" s="41">
        <f t="shared" si="28"/>
        <v>75.159590471283522</v>
      </c>
      <c r="Z89" s="41">
        <f t="shared" si="29"/>
        <v>1059.792881869346</v>
      </c>
      <c r="AA89" s="230">
        <f t="shared" si="8"/>
        <v>5.4131440119948665E-2</v>
      </c>
      <c r="AB89" s="230">
        <f t="shared" si="30"/>
        <v>-0.28600682571109298</v>
      </c>
      <c r="AC89" s="41">
        <f t="shared" si="31"/>
        <v>0.29214088656375697</v>
      </c>
      <c r="AD89" s="41">
        <f t="shared" si="9"/>
        <v>0.2738404779316666</v>
      </c>
      <c r="AE89" s="41">
        <f t="shared" si="32"/>
        <v>-1.8773418815131882E-2</v>
      </c>
      <c r="AF89" s="41">
        <f t="shared" si="10"/>
        <v>742.19690255220337</v>
      </c>
      <c r="AG89" s="41">
        <f t="shared" si="11"/>
        <v>733.66789871476783</v>
      </c>
      <c r="AH89" s="41">
        <f t="shared" si="33"/>
        <v>4.9165716948468816</v>
      </c>
      <c r="AI89" s="41">
        <f t="shared" si="12"/>
        <v>271.88607722786782</v>
      </c>
      <c r="AJ89" s="41">
        <f t="shared" si="34"/>
        <v>2.2354365489181314</v>
      </c>
      <c r="AK89" s="8">
        <f t="shared" si="36"/>
        <v>1.9204356100448976</v>
      </c>
      <c r="AL89" s="42">
        <f t="shared" si="37"/>
        <v>0.60594834343894177</v>
      </c>
      <c r="AZ89" s="8"/>
    </row>
    <row r="90" spans="1:52" x14ac:dyDescent="0.25">
      <c r="A90" s="40"/>
      <c r="B90" s="41">
        <f t="shared" si="13"/>
        <v>742.19690255220337</v>
      </c>
      <c r="C90" s="41">
        <f t="shared" si="13"/>
        <v>733.66789871476783</v>
      </c>
      <c r="D90" s="41">
        <f t="shared" si="13"/>
        <v>4.9165716948468816</v>
      </c>
      <c r="E90" s="41">
        <f t="shared" si="35"/>
        <v>16</v>
      </c>
      <c r="F90" s="41">
        <f t="shared" si="14"/>
        <v>16</v>
      </c>
      <c r="G90" s="41">
        <f t="shared" si="15"/>
        <v>563.41150674181927</v>
      </c>
      <c r="H90" s="25">
        <f t="shared" si="16"/>
        <v>0.08</v>
      </c>
      <c r="I90" s="226">
        <f t="shared" si="17"/>
        <v>6.8232030699484314</v>
      </c>
      <c r="J90" s="227">
        <f t="shared" si="38"/>
        <v>80</v>
      </c>
      <c r="K90" s="41">
        <f t="shared" si="18"/>
        <v>1</v>
      </c>
      <c r="L90" s="215">
        <f t="shared" si="19"/>
        <v>4.9965716948468817</v>
      </c>
      <c r="M90" s="215">
        <f t="shared" si="4"/>
        <v>4.9565716948468816</v>
      </c>
      <c r="N90" s="41">
        <f t="shared" si="20"/>
        <v>0.28016662935824854</v>
      </c>
      <c r="O90" s="41">
        <f t="shared" si="21"/>
        <v>7.2913955622582121</v>
      </c>
      <c r="P90" s="228">
        <f t="shared" si="22"/>
        <v>79.387253109787693</v>
      </c>
      <c r="Q90" s="41">
        <f t="shared" si="23"/>
        <v>470.00258557865345</v>
      </c>
      <c r="R90" s="41">
        <f t="shared" si="24"/>
        <v>1083.7411834292739</v>
      </c>
      <c r="S90" s="215">
        <f t="shared" si="5"/>
        <v>5.9479048187331837E-2</v>
      </c>
      <c r="T90" s="215">
        <f t="shared" si="6"/>
        <v>0.2978845168927739</v>
      </c>
      <c r="U90" s="230">
        <f t="shared" si="25"/>
        <v>4.8365716948468815</v>
      </c>
      <c r="V90" s="230">
        <f t="shared" si="7"/>
        <v>4.8765716948468816</v>
      </c>
      <c r="W90" s="41">
        <f t="shared" si="26"/>
        <v>-0.27499947059490992</v>
      </c>
      <c r="X90" s="41">
        <f t="shared" si="27"/>
        <v>443.79867368547934</v>
      </c>
      <c r="Y90" s="41">
        <f t="shared" si="28"/>
        <v>76.845283527430652</v>
      </c>
      <c r="Z90" s="41">
        <f t="shared" si="29"/>
        <v>1069.7297699100841</v>
      </c>
      <c r="AA90" s="230">
        <f t="shared" si="8"/>
        <v>5.6898557767039754E-2</v>
      </c>
      <c r="AB90" s="230">
        <f t="shared" si="30"/>
        <v>-0.29159055249009036</v>
      </c>
      <c r="AC90" s="41">
        <f t="shared" si="31"/>
        <v>0.2978845168927739</v>
      </c>
      <c r="AD90" s="41">
        <f t="shared" si="9"/>
        <v>0.2685604503197348</v>
      </c>
      <c r="AE90" s="41">
        <f t="shared" si="32"/>
        <v>-1.7897628071604887E-2</v>
      </c>
      <c r="AF90" s="41">
        <f t="shared" si="10"/>
        <v>742.17918466466881</v>
      </c>
      <c r="AG90" s="41">
        <f t="shared" si="11"/>
        <v>733.37001419787509</v>
      </c>
      <c r="AH90" s="41">
        <f t="shared" si="33"/>
        <v>4.9966707001669386</v>
      </c>
      <c r="AI90" s="41">
        <f t="shared" si="12"/>
        <v>274.86684223827342</v>
      </c>
      <c r="AJ90" s="41">
        <f t="shared" si="34"/>
        <v>2.3117884495398742</v>
      </c>
      <c r="AK90" s="8">
        <f t="shared" si="36"/>
        <v>2.0679699130065781</v>
      </c>
      <c r="AL90" s="42">
        <f t="shared" si="37"/>
        <v>0.62793769081800366</v>
      </c>
      <c r="AZ90" s="8"/>
    </row>
    <row r="91" spans="1:52" x14ac:dyDescent="0.25">
      <c r="A91" s="40"/>
      <c r="B91" s="41">
        <f t="shared" si="13"/>
        <v>742.17918466466881</v>
      </c>
      <c r="C91" s="41">
        <f t="shared" si="13"/>
        <v>733.37001419787509</v>
      </c>
      <c r="D91" s="41">
        <f t="shared" si="13"/>
        <v>4.9966707001669386</v>
      </c>
      <c r="E91" s="41">
        <f t="shared" si="35"/>
        <v>16</v>
      </c>
      <c r="F91" s="41">
        <f t="shared" si="14"/>
        <v>16</v>
      </c>
      <c r="G91" s="41">
        <f t="shared" si="15"/>
        <v>590.9475889926083</v>
      </c>
      <c r="H91" s="25">
        <f t="shared" si="16"/>
        <v>0.08</v>
      </c>
      <c r="I91" s="226">
        <f t="shared" si="17"/>
        <v>7.0473363734349732</v>
      </c>
      <c r="J91" s="227">
        <f t="shared" si="38"/>
        <v>80</v>
      </c>
      <c r="K91" s="41">
        <f t="shared" si="18"/>
        <v>1</v>
      </c>
      <c r="L91" s="215">
        <f t="shared" si="19"/>
        <v>5.0766707001669387</v>
      </c>
      <c r="M91" s="215">
        <f t="shared" si="4"/>
        <v>5.0366707001669386</v>
      </c>
      <c r="N91" s="41">
        <f t="shared" si="20"/>
        <v>0.28473668721294132</v>
      </c>
      <c r="O91" s="41">
        <f t="shared" si="21"/>
        <v>7.2891583836588492</v>
      </c>
      <c r="P91" s="228">
        <f t="shared" si="22"/>
        <v>81.096270573953149</v>
      </c>
      <c r="Q91" s="41">
        <f t="shared" si="23"/>
        <v>497.10020157119789</v>
      </c>
      <c r="R91" s="41">
        <f t="shared" si="24"/>
        <v>1092.5619588255736</v>
      </c>
      <c r="S91" s="215">
        <f>Q91/O91/R91</f>
        <v>6.2419527556711686E-2</v>
      </c>
      <c r="T91" s="215">
        <f t="shared" si="6"/>
        <v>0.30369306484267061</v>
      </c>
      <c r="U91" s="230">
        <f t="shared" si="25"/>
        <v>4.9166707001669385</v>
      </c>
      <c r="V91" s="230">
        <f t="shared" si="7"/>
        <v>4.9566707001669386</v>
      </c>
      <c r="W91" s="41">
        <f t="shared" si="26"/>
        <v>-0.27947397776512872</v>
      </c>
      <c r="X91" s="41">
        <f t="shared" si="27"/>
        <v>470.0355444097097</v>
      </c>
      <c r="Y91" s="41">
        <f t="shared" si="28"/>
        <v>78.54054346842959</v>
      </c>
      <c r="Z91" s="41">
        <f t="shared" si="29"/>
        <v>1079.1972277934492</v>
      </c>
      <c r="AA91" s="230">
        <f t="shared" si="8"/>
        <v>5.9752006378399759E-2</v>
      </c>
      <c r="AB91" s="230">
        <f t="shared" si="30"/>
        <v>-0.29723432505148434</v>
      </c>
      <c r="AC91" s="41">
        <f t="shared" si="31"/>
        <v>0.30369306484267061</v>
      </c>
      <c r="AD91" s="41">
        <f t="shared" si="9"/>
        <v>0.26342386198856504</v>
      </c>
      <c r="AE91" s="41">
        <f t="shared" si="32"/>
        <v>-1.7077060339754053E-2</v>
      </c>
      <c r="AF91" s="41">
        <f t="shared" si="10"/>
        <v>742.1602282870391</v>
      </c>
      <c r="AG91" s="41">
        <f t="shared" si="11"/>
        <v>733.06632113303237</v>
      </c>
      <c r="AH91" s="41">
        <f t="shared" si="33"/>
        <v>5.0767815866370229</v>
      </c>
      <c r="AI91" s="41">
        <f t="shared" si="12"/>
        <v>277.96415790379439</v>
      </c>
      <c r="AJ91" s="41">
        <f t="shared" si="34"/>
        <v>2.3890007156242614</v>
      </c>
      <c r="AK91" s="8">
        <f t="shared" si="36"/>
        <v>2.224578118031376</v>
      </c>
      <c r="AL91" s="42">
        <f t="shared" si="37"/>
        <v>0.65017482345030719</v>
      </c>
      <c r="AZ91" s="8"/>
    </row>
    <row r="92" spans="1:52" x14ac:dyDescent="0.25">
      <c r="A92" s="40"/>
      <c r="B92" s="41">
        <f t="shared" si="13"/>
        <v>742.1602282870391</v>
      </c>
      <c r="C92" s="41">
        <f t="shared" si="13"/>
        <v>733.06632113303237</v>
      </c>
      <c r="D92" s="41">
        <f t="shared" si="13"/>
        <v>5.0767815866370229</v>
      </c>
      <c r="E92" s="41">
        <f t="shared" si="35"/>
        <v>16</v>
      </c>
      <c r="F92" s="41">
        <f t="shared" si="14"/>
        <v>16</v>
      </c>
      <c r="G92" s="41">
        <f t="shared" si="15"/>
        <v>619.37078572208418</v>
      </c>
      <c r="H92" s="25">
        <f t="shared" si="16"/>
        <v>0.08</v>
      </c>
      <c r="I92" s="226">
        <f t="shared" si="17"/>
        <v>7.2751257232053836</v>
      </c>
      <c r="J92" s="227">
        <f t="shared" si="38"/>
        <v>80</v>
      </c>
      <c r="K92" s="41">
        <f t="shared" si="18"/>
        <v>1</v>
      </c>
      <c r="L92" s="215">
        <f t="shared" si="19"/>
        <v>5.156781586637023</v>
      </c>
      <c r="M92" s="215">
        <f t="shared" si="4"/>
        <v>5.116781586637023</v>
      </c>
      <c r="N92" s="41">
        <f t="shared" si="20"/>
        <v>0.28930819516939366</v>
      </c>
      <c r="O92" s="41">
        <f t="shared" si="21"/>
        <v>7.2867648250434716</v>
      </c>
      <c r="P92" s="228">
        <f t="shared" si="22"/>
        <v>82.814610576562032</v>
      </c>
      <c r="Q92" s="41">
        <f t="shared" si="23"/>
        <v>525.07776126926456</v>
      </c>
      <c r="R92" s="41">
        <f t="shared" si="24"/>
        <v>1100.9872880570445</v>
      </c>
      <c r="S92" s="215">
        <f t="shared" si="5"/>
        <v>6.5449535252035063E-2</v>
      </c>
      <c r="T92" s="215">
        <f t="shared" si="6"/>
        <v>0.30956936632353604</v>
      </c>
      <c r="U92" s="230">
        <f t="shared" si="25"/>
        <v>4.9967815866370229</v>
      </c>
      <c r="V92" s="230">
        <f t="shared" si="7"/>
        <v>5.0367815866370229</v>
      </c>
      <c r="W92" s="41">
        <f t="shared" si="26"/>
        <v>-0.28394837642120407</v>
      </c>
      <c r="X92" s="41">
        <f t="shared" si="27"/>
        <v>497.13831842471529</v>
      </c>
      <c r="Y92" s="41">
        <f t="shared" si="28"/>
        <v>80.245270045938156</v>
      </c>
      <c r="Z92" s="41">
        <f t="shared" si="29"/>
        <v>1088.226813858691</v>
      </c>
      <c r="AA92" s="230">
        <f t="shared" si="8"/>
        <v>6.26935789805909E-2</v>
      </c>
      <c r="AB92" s="230">
        <f t="shared" si="30"/>
        <v>-0.30294082068954936</v>
      </c>
      <c r="AC92" s="41">
        <f t="shared" si="31"/>
        <v>0.30956936632353604</v>
      </c>
      <c r="AD92" s="41">
        <f t="shared" si="9"/>
        <v>0.25842350278415688</v>
      </c>
      <c r="AE92" s="41">
        <f t="shared" si="32"/>
        <v>-1.6307404302915687E-2</v>
      </c>
      <c r="AF92" s="41">
        <f t="shared" si="10"/>
        <v>742.13996711588493</v>
      </c>
      <c r="AG92" s="41">
        <f t="shared" si="11"/>
        <v>732.75675176670882</v>
      </c>
      <c r="AH92" s="41">
        <f t="shared" si="33"/>
        <v>5.1569041990266653</v>
      </c>
      <c r="AI92" s="41">
        <f t="shared" si="12"/>
        <v>281.17433296604656</v>
      </c>
      <c r="AJ92" s="41">
        <f t="shared" si="34"/>
        <v>2.4671046970037187</v>
      </c>
      <c r="AK92" s="8">
        <f t="shared" si="36"/>
        <v>2.3907374121842659</v>
      </c>
      <c r="AL92" s="42">
        <f t="shared" si="37"/>
        <v>0.67266877008759096</v>
      </c>
      <c r="AZ92" s="8"/>
    </row>
    <row r="93" spans="1:52" x14ac:dyDescent="0.25">
      <c r="A93" s="40"/>
      <c r="B93" s="41">
        <f>AF92</f>
        <v>742.13996711588493</v>
      </c>
      <c r="C93" s="41">
        <f>AG92</f>
        <v>732.75675176670882</v>
      </c>
      <c r="D93" s="41">
        <f>AH92</f>
        <v>5.1569041990266653</v>
      </c>
      <c r="E93" s="41">
        <f t="shared" si="35"/>
        <v>16</v>
      </c>
      <c r="F93" s="41">
        <f t="shared" si="14"/>
        <v>16</v>
      </c>
      <c r="G93" s="41">
        <f t="shared" si="15"/>
        <v>648.6953706839314</v>
      </c>
      <c r="H93" s="25">
        <f t="shared" si="16"/>
        <v>0.08</v>
      </c>
      <c r="I93" s="226">
        <f t="shared" si="17"/>
        <v>7.5065722793408902</v>
      </c>
      <c r="J93" s="227">
        <f t="shared" si="38"/>
        <v>80</v>
      </c>
      <c r="K93" s="41">
        <f t="shared" si="18"/>
        <v>1</v>
      </c>
      <c r="L93" s="215">
        <f t="shared" si="19"/>
        <v>5.2369041990266654</v>
      </c>
      <c r="M93" s="215">
        <f t="shared" si="4"/>
        <v>5.1969041990266653</v>
      </c>
      <c r="N93" s="41">
        <f t="shared" si="20"/>
        <v>0.293881144710749</v>
      </c>
      <c r="O93" s="41">
        <f t="shared" si="21"/>
        <v>7.2842065144990711</v>
      </c>
      <c r="P93" s="228">
        <f t="shared" si="22"/>
        <v>84.542179295615909</v>
      </c>
      <c r="Q93" s="41">
        <f t="shared" si="23"/>
        <v>553.94953377261845</v>
      </c>
      <c r="R93" s="41">
        <f t="shared" si="24"/>
        <v>1109.0424060299033</v>
      </c>
      <c r="S93" s="215">
        <f t="shared" si="5"/>
        <v>6.8570891967803235E-2</v>
      </c>
      <c r="T93" s="215">
        <f t="shared" si="6"/>
        <v>0.31551638463567361</v>
      </c>
      <c r="U93" s="230">
        <f t="shared" si="25"/>
        <v>5.0769041990266652</v>
      </c>
      <c r="V93" s="230">
        <f t="shared" si="7"/>
        <v>5.1169041990266653</v>
      </c>
      <c r="W93" s="41">
        <f t="shared" si="26"/>
        <v>-0.28842265755179142</v>
      </c>
      <c r="X93" s="41">
        <f t="shared" si="27"/>
        <v>525.12126037516941</v>
      </c>
      <c r="Y93" s="41">
        <f t="shared" si="28"/>
        <v>81.959365705747217</v>
      </c>
      <c r="Z93" s="41">
        <f t="shared" si="29"/>
        <v>1096.8473510201568</v>
      </c>
      <c r="AA93" s="230">
        <f t="shared" si="8"/>
        <v>6.5725085697560179E-2</v>
      </c>
      <c r="AB93" s="230">
        <f t="shared" si="30"/>
        <v>-0.30871283509430114</v>
      </c>
      <c r="AC93" s="41">
        <f t="shared" si="31"/>
        <v>0.31551638463567361</v>
      </c>
      <c r="AD93" s="41">
        <f t="shared" si="9"/>
        <v>0.25355260105549166</v>
      </c>
      <c r="AE93" s="41">
        <f t="shared" si="32"/>
        <v>-1.5584747280483367E-2</v>
      </c>
      <c r="AF93" s="41">
        <f t="shared" si="10"/>
        <v>742.11833187596005</v>
      </c>
      <c r="AG93" s="41">
        <f t="shared" si="11"/>
        <v>732.44123538207316</v>
      </c>
      <c r="AH93" s="41">
        <f t="shared" si="33"/>
        <v>5.2370383892210803</v>
      </c>
      <c r="AI93" s="41">
        <f t="shared" si="12"/>
        <v>284.49442773351109</v>
      </c>
      <c r="AJ93" s="41">
        <f t="shared" si="34"/>
        <v>2.5461309269296941</v>
      </c>
      <c r="AK93" s="8">
        <f t="shared" si="36"/>
        <v>2.5669449494231253</v>
      </c>
      <c r="AL93" s="42">
        <f t="shared" si="37"/>
        <v>0.69542832430627188</v>
      </c>
      <c r="AZ93" s="8"/>
    </row>
    <row r="94" spans="1:52" x14ac:dyDescent="0.25">
      <c r="A94" s="40"/>
      <c r="B94" s="41">
        <f t="shared" ref="B94:D125" si="39">AF93</f>
        <v>742.11833187596005</v>
      </c>
      <c r="C94" s="41">
        <f t="shared" si="39"/>
        <v>732.44123538207316</v>
      </c>
      <c r="D94" s="41">
        <f t="shared" si="39"/>
        <v>5.2370383892210803</v>
      </c>
      <c r="E94" s="41">
        <f t="shared" si="35"/>
        <v>16</v>
      </c>
      <c r="F94" s="41">
        <f t="shared" si="14"/>
        <v>16</v>
      </c>
      <c r="G94" s="41">
        <f t="shared" si="15"/>
        <v>678.93562570266522</v>
      </c>
      <c r="H94" s="25">
        <f t="shared" si="16"/>
        <v>0.08</v>
      </c>
      <c r="I94" s="226">
        <f t="shared" si="17"/>
        <v>7.7416771951095145</v>
      </c>
      <c r="J94" s="227">
        <f t="shared" si="38"/>
        <v>80</v>
      </c>
      <c r="K94" s="41">
        <f t="shared" si="18"/>
        <v>1</v>
      </c>
      <c r="L94" s="215">
        <f t="shared" si="19"/>
        <v>5.3170383892210804</v>
      </c>
      <c r="M94" s="215">
        <f t="shared" si="4"/>
        <v>5.2770383892210804</v>
      </c>
      <c r="N94" s="41">
        <f t="shared" si="20"/>
        <v>0.29845552772049544</v>
      </c>
      <c r="O94" s="41">
        <f t="shared" si="21"/>
        <v>7.2814747048712229</v>
      </c>
      <c r="P94" s="228">
        <f t="shared" si="22"/>
        <v>86.278885338087946</v>
      </c>
      <c r="Q94" s="41">
        <f t="shared" si="23"/>
        <v>583.72979626324479</v>
      </c>
      <c r="R94" s="41">
        <f t="shared" si="24"/>
        <v>1116.7504702265664</v>
      </c>
      <c r="S94" s="215">
        <f t="shared" si="5"/>
        <v>7.1785441061831962E-2</v>
      </c>
      <c r="T94" s="215">
        <f t="shared" si="6"/>
        <v>0.32153721878906311</v>
      </c>
      <c r="U94" s="230">
        <f t="shared" si="25"/>
        <v>5.1570383892210803</v>
      </c>
      <c r="V94" s="230">
        <f t="shared" si="7"/>
        <v>5.1970383892210803</v>
      </c>
      <c r="W94" s="41">
        <f t="shared" si="26"/>
        <v>-0.29289681254866906</v>
      </c>
      <c r="X94" s="41">
        <f t="shared" si="27"/>
        <v>553.99864301413038</v>
      </c>
      <c r="Y94" s="41">
        <f t="shared" si="28"/>
        <v>83.682735474609359</v>
      </c>
      <c r="Z94" s="41">
        <f t="shared" si="29"/>
        <v>1105.0852153702626</v>
      </c>
      <c r="AA94" s="230">
        <f t="shared" si="8"/>
        <v>6.8848358023750403E-2</v>
      </c>
      <c r="AB94" s="230">
        <f t="shared" si="30"/>
        <v>-0.31455329008176719</v>
      </c>
      <c r="AC94" s="41">
        <f t="shared" ref="AC94:AC125" si="40">delta_z(N94,S94,H94,AE93,AB94)</f>
        <v>0.32153721878906311</v>
      </c>
      <c r="AD94" s="41">
        <f t="shared" si="9"/>
        <v>0.24880478938421779</v>
      </c>
      <c r="AE94" s="41">
        <f t="shared" si="32"/>
        <v>-1.490553273931769E-2</v>
      </c>
      <c r="AF94" s="41">
        <f t="shared" si="10"/>
        <v>742.09525018489148</v>
      </c>
      <c r="AG94" s="41">
        <f t="shared" si="11"/>
        <v>732.11969816328406</v>
      </c>
      <c r="AH94" s="41">
        <f t="shared" si="33"/>
        <v>5.3171840157948527</v>
      </c>
      <c r="AI94" s="41">
        <f t="shared" si="12"/>
        <v>287.9221700473783</v>
      </c>
      <c r="AJ94" s="41">
        <f t="shared" si="34"/>
        <v>2.6261093074984103</v>
      </c>
      <c r="AK94" s="8">
        <f t="shared" si="36"/>
        <v>2.7537187282501314</v>
      </c>
      <c r="AL94" s="42">
        <f t="shared" si="37"/>
        <v>0.7184620979100621</v>
      </c>
      <c r="AZ94" s="8"/>
    </row>
    <row r="95" spans="1:52" x14ac:dyDescent="0.25">
      <c r="A95" s="40"/>
      <c r="B95" s="41">
        <f t="shared" si="39"/>
        <v>742.09525018489148</v>
      </c>
      <c r="C95" s="41">
        <f t="shared" si="39"/>
        <v>732.11969816328406</v>
      </c>
      <c r="D95" s="41">
        <f t="shared" si="39"/>
        <v>5.3171840157948527</v>
      </c>
      <c r="E95" s="41">
        <f t="shared" si="35"/>
        <v>16</v>
      </c>
      <c r="F95" s="41">
        <f t="shared" si="14"/>
        <v>16</v>
      </c>
      <c r="G95" s="41">
        <f t="shared" si="15"/>
        <v>710.10584065114813</v>
      </c>
      <c r="H95" s="25">
        <f t="shared" ref="H95:H126" si="41">dv(S94)</f>
        <v>0.08</v>
      </c>
      <c r="I95" s="226">
        <f t="shared" si="17"/>
        <v>7.9804416172859423</v>
      </c>
      <c r="J95" s="227">
        <f t="shared" si="38"/>
        <v>80</v>
      </c>
      <c r="K95" s="41">
        <f t="shared" si="18"/>
        <v>1</v>
      </c>
      <c r="L95" s="215">
        <f t="shared" si="19"/>
        <v>5.3971840157948527</v>
      </c>
      <c r="M95" s="215">
        <f t="shared" si="4"/>
        <v>5.3571840157948527</v>
      </c>
      <c r="N95" s="41">
        <f t="shared" si="20"/>
        <v>0.30303133645838187</v>
      </c>
      <c r="O95" s="41">
        <f t="shared" si="21"/>
        <v>7.2785602566789649</v>
      </c>
      <c r="P95" s="228">
        <f t="shared" si="22"/>
        <v>88.024639641540233</v>
      </c>
      <c r="Q95" s="41">
        <f t="shared" si="23"/>
        <v>614.43283398227504</v>
      </c>
      <c r="R95" s="41">
        <f t="shared" si="24"/>
        <v>1124.1327690234416</v>
      </c>
      <c r="S95" s="215">
        <f t="shared" si="5"/>
        <v>7.5095052593650832E-2</v>
      </c>
      <c r="T95" s="215">
        <f t="shared" si="6"/>
        <v>0.32763511246009974</v>
      </c>
      <c r="U95" s="230">
        <f t="shared" si="25"/>
        <v>5.2371840157948526</v>
      </c>
      <c r="V95" s="230">
        <f t="shared" si="7"/>
        <v>5.2771840157948526</v>
      </c>
      <c r="W95" s="41">
        <f t="shared" si="26"/>
        <v>-0.29737083318272539</v>
      </c>
      <c r="X95" s="41">
        <f t="shared" si="27"/>
        <v>583.78474717873928</v>
      </c>
      <c r="Y95" s="41">
        <f t="shared" si="28"/>
        <v>85.415286853482101</v>
      </c>
      <c r="Z95" s="41">
        <f t="shared" si="29"/>
        <v>1112.9645890891759</v>
      </c>
      <c r="AA95" s="230">
        <f t="shared" si="8"/>
        <v>7.2065252947640393E-2</v>
      </c>
      <c r="AB95" s="230">
        <f t="shared" si="30"/>
        <v>-0.32046524190126696</v>
      </c>
      <c r="AC95" s="41">
        <f t="shared" si="40"/>
        <v>0.32763511246009974</v>
      </c>
      <c r="AD95" s="41">
        <f t="shared" si="9"/>
        <v>0.24417407340534239</v>
      </c>
      <c r="AE95" s="41">
        <f t="shared" si="32"/>
        <v>-1.4266522943036711E-2</v>
      </c>
      <c r="AF95" s="41">
        <f t="shared" si="10"/>
        <v>742.07064640888973</v>
      </c>
      <c r="AG95" s="41">
        <f t="shared" si="11"/>
        <v>731.79206305082391</v>
      </c>
      <c r="AH95" s="41">
        <f t="shared" si="33"/>
        <v>5.3973409436171993</v>
      </c>
      <c r="AI95" s="41">
        <f t="shared" si="12"/>
        <v>291.45588625151765</v>
      </c>
      <c r="AJ95" s="41">
        <f t="shared" si="34"/>
        <v>2.7070692759016097</v>
      </c>
      <c r="AK95" s="8">
        <f t="shared" si="36"/>
        <v>2.9515985127470303</v>
      </c>
      <c r="AL95" s="42">
        <f t="shared" si="37"/>
        <v>0.74177856881018356</v>
      </c>
      <c r="AZ95" s="8"/>
    </row>
    <row r="96" spans="1:52" x14ac:dyDescent="0.25">
      <c r="A96" s="40"/>
      <c r="B96" s="41">
        <f t="shared" si="39"/>
        <v>742.07064640888973</v>
      </c>
      <c r="C96" s="41">
        <f t="shared" si="39"/>
        <v>731.79206305082391</v>
      </c>
      <c r="D96" s="41">
        <f t="shared" si="39"/>
        <v>5.3973409436171993</v>
      </c>
      <c r="E96" s="41">
        <f t="shared" si="35"/>
        <v>16</v>
      </c>
      <c r="F96" s="41">
        <f t="shared" si="14"/>
        <v>16</v>
      </c>
      <c r="G96" s="41">
        <f t="shared" si="15"/>
        <v>742.22031342929142</v>
      </c>
      <c r="H96" s="25">
        <f t="shared" si="41"/>
        <v>0.08</v>
      </c>
      <c r="I96" s="226">
        <f t="shared" si="17"/>
        <v>8.2228666864526527</v>
      </c>
      <c r="J96" s="227">
        <f t="shared" si="38"/>
        <v>80</v>
      </c>
      <c r="K96" s="41">
        <f t="shared" si="18"/>
        <v>1</v>
      </c>
      <c r="L96" s="215">
        <f t="shared" si="19"/>
        <v>5.4773409436171994</v>
      </c>
      <c r="M96" s="215">
        <f t="shared" si="4"/>
        <v>5.4373409436171993</v>
      </c>
      <c r="N96" s="41">
        <f t="shared" si="20"/>
        <v>0.30760856353823129</v>
      </c>
      <c r="O96" s="41">
        <f t="shared" si="21"/>
        <v>7.27545361989581</v>
      </c>
      <c r="P96" s="228">
        <f t="shared" si="22"/>
        <v>89.779355381132532</v>
      </c>
      <c r="Q96" s="41">
        <f t="shared" si="23"/>
        <v>646.07294020813413</v>
      </c>
      <c r="R96" s="41">
        <f t="shared" si="24"/>
        <v>1131.2089055019301</v>
      </c>
      <c r="S96" s="215">
        <f t="shared" si="5"/>
        <v>7.8501627325888945E-2</v>
      </c>
      <c r="T96" s="215">
        <f t="shared" si="6"/>
        <v>0.33381346365873338</v>
      </c>
      <c r="U96" s="230">
        <f t="shared" si="25"/>
        <v>5.3173409436171992</v>
      </c>
      <c r="V96" s="230">
        <f t="shared" si="7"/>
        <v>5.3573409436171993</v>
      </c>
      <c r="W96" s="41">
        <f t="shared" si="26"/>
        <v>-0.30184471158151638</v>
      </c>
      <c r="X96" s="41">
        <f t="shared" si="27"/>
        <v>614.49386176721111</v>
      </c>
      <c r="Y96" s="41">
        <f t="shared" si="28"/>
        <v>87.156929716740862</v>
      </c>
      <c r="Z96" s="41">
        <f t="shared" si="29"/>
        <v>1120.5076827006746</v>
      </c>
      <c r="AA96" s="230">
        <f t="shared" si="8"/>
        <v>7.5377657002679774E-2</v>
      </c>
      <c r="AB96" s="230">
        <f t="shared" si="30"/>
        <v>-0.3264518901879826</v>
      </c>
      <c r="AC96" s="41">
        <f t="shared" si="40"/>
        <v>0.33381346365873338</v>
      </c>
      <c r="AD96" s="41">
        <f t="shared" si="9"/>
        <v>0.23965480338380296</v>
      </c>
      <c r="AE96" s="41">
        <f t="shared" si="32"/>
        <v>-1.3664766044420407E-2</v>
      </c>
      <c r="AF96" s="41">
        <f t="shared" si="10"/>
        <v>742.04444150876918</v>
      </c>
      <c r="AG96" s="41">
        <f t="shared" si="11"/>
        <v>731.45824958716514</v>
      </c>
      <c r="AH96" s="41">
        <f t="shared" si="33"/>
        <v>5.4775090434858837</v>
      </c>
      <c r="AI96" s="41">
        <f t="shared" si="12"/>
        <v>295.09444456735122</v>
      </c>
      <c r="AJ96" s="41">
        <f t="shared" si="34"/>
        <v>2.789039954948096</v>
      </c>
      <c r="AK96" s="8">
        <f t="shared" si="36"/>
        <v>3.1611468013780128</v>
      </c>
      <c r="AL96" s="42">
        <f t="shared" si="37"/>
        <v>0.76538612437557163</v>
      </c>
      <c r="AZ96" s="8"/>
    </row>
    <row r="97" spans="1:52" x14ac:dyDescent="0.25">
      <c r="A97" s="40"/>
      <c r="B97" s="41">
        <f t="shared" si="39"/>
        <v>742.04444150876918</v>
      </c>
      <c r="C97" s="41">
        <f t="shared" si="39"/>
        <v>731.45824958716514</v>
      </c>
      <c r="D97" s="41">
        <f t="shared" si="39"/>
        <v>5.4775090434858837</v>
      </c>
      <c r="E97" s="41">
        <f t="shared" si="35"/>
        <v>16</v>
      </c>
      <c r="F97" s="41">
        <f t="shared" si="14"/>
        <v>16</v>
      </c>
      <c r="G97" s="41">
        <f t="shared" si="15"/>
        <v>775.29334994381327</v>
      </c>
      <c r="H97" s="25">
        <f t="shared" si="41"/>
        <v>0.08</v>
      </c>
      <c r="I97" s="226">
        <f t="shared" si="17"/>
        <v>8.4689535372832321</v>
      </c>
      <c r="J97" s="227">
        <f t="shared" si="38"/>
        <v>80</v>
      </c>
      <c r="K97" s="41">
        <f t="shared" si="18"/>
        <v>1</v>
      </c>
      <c r="L97" s="215">
        <f t="shared" si="19"/>
        <v>5.5575090434858838</v>
      </c>
      <c r="M97" s="215">
        <f t="shared" si="4"/>
        <v>5.5175090434858838</v>
      </c>
      <c r="N97" s="41">
        <f t="shared" si="20"/>
        <v>0.3121872019073173</v>
      </c>
      <c r="O97" s="41">
        <f t="shared" si="21"/>
        <v>7.2721448145072562</v>
      </c>
      <c r="P97" s="228">
        <f t="shared" si="22"/>
        <v>91.542947881648374</v>
      </c>
      <c r="Q97" s="41">
        <f t="shared" si="23"/>
        <v>678.66441623577077</v>
      </c>
      <c r="R97" s="41">
        <f t="shared" si="24"/>
        <v>1137.9969600466045</v>
      </c>
      <c r="S97" s="215">
        <f t="shared" si="5"/>
        <v>8.2007100746641762E-2</v>
      </c>
      <c r="T97" s="215">
        <f t="shared" si="6"/>
        <v>0.34007583518481693</v>
      </c>
      <c r="U97" s="230">
        <f t="shared" si="25"/>
        <v>5.3975090434858837</v>
      </c>
      <c r="V97" s="230">
        <f t="shared" si="7"/>
        <v>5.4375090434858837</v>
      </c>
      <c r="W97" s="41">
        <f t="shared" si="26"/>
        <v>-0.30631844020860299</v>
      </c>
      <c r="X97" s="41">
        <f t="shared" si="27"/>
        <v>646.14028371697657</v>
      </c>
      <c r="Y97" s="41">
        <f t="shared" si="28"/>
        <v>88.907576216939461</v>
      </c>
      <c r="Z97" s="41">
        <f t="shared" si="29"/>
        <v>1127.7349309170722</v>
      </c>
      <c r="AA97" s="230">
        <f t="shared" si="8"/>
        <v>7.878749031088024E-2</v>
      </c>
      <c r="AB97" s="230">
        <f t="shared" si="30"/>
        <v>-0.33251658763511127</v>
      </c>
      <c r="AC97" s="41">
        <f t="shared" si="40"/>
        <v>0.34007583518481693</v>
      </c>
      <c r="AD97" s="41">
        <f t="shared" si="9"/>
        <v>0.23524164825331786</v>
      </c>
      <c r="AE97" s="41">
        <f t="shared" si="32"/>
        <v>-1.3097567027873675E-2</v>
      </c>
      <c r="AF97" s="41">
        <f t="shared" si="10"/>
        <v>742.0165528754917</v>
      </c>
      <c r="AG97" s="41">
        <f t="shared" si="11"/>
        <v>731.11817375198029</v>
      </c>
      <c r="AH97" s="41">
        <f t="shared" si="33"/>
        <v>5.5576881917873227</v>
      </c>
      <c r="AI97" s="41">
        <f t="shared" si="12"/>
        <v>298.83720881898472</v>
      </c>
      <c r="AJ97" s="41">
        <f t="shared" si="34"/>
        <v>2.8720502907311474</v>
      </c>
      <c r="AK97" s="8">
        <f t="shared" si="36"/>
        <v>3.3829498481719744</v>
      </c>
      <c r="AL97" s="42">
        <f t="shared" si="37"/>
        <v>0.78929310108109041</v>
      </c>
      <c r="AZ97" s="8"/>
    </row>
    <row r="98" spans="1:52" x14ac:dyDescent="0.25">
      <c r="A98" s="40"/>
      <c r="B98" s="41">
        <f t="shared" si="39"/>
        <v>742.0165528754917</v>
      </c>
      <c r="C98" s="41">
        <f t="shared" si="39"/>
        <v>731.11817375198029</v>
      </c>
      <c r="D98" s="41">
        <f t="shared" si="39"/>
        <v>5.5576881917873227</v>
      </c>
      <c r="E98" s="41">
        <f t="shared" si="35"/>
        <v>16</v>
      </c>
      <c r="F98" s="41">
        <f t="shared" si="14"/>
        <v>16</v>
      </c>
      <c r="G98" s="41">
        <f t="shared" si="15"/>
        <v>809.3392640889806</v>
      </c>
      <c r="H98" s="25">
        <f t="shared" si="41"/>
        <v>0.08</v>
      </c>
      <c r="I98" s="226">
        <f t="shared" si="17"/>
        <v>8.7187032988091229</v>
      </c>
      <c r="J98" s="227">
        <f t="shared" si="38"/>
        <v>80</v>
      </c>
      <c r="K98" s="41">
        <f t="shared" si="18"/>
        <v>1</v>
      </c>
      <c r="L98" s="215">
        <f t="shared" si="19"/>
        <v>5.6376881917873227</v>
      </c>
      <c r="M98" s="215">
        <f t="shared" si="4"/>
        <v>5.5976881917873227</v>
      </c>
      <c r="N98" s="41">
        <f t="shared" si="20"/>
        <v>0.31676724482722918</v>
      </c>
      <c r="O98" s="41">
        <f t="shared" si="21"/>
        <v>7.2686234097454188</v>
      </c>
      <c r="P98" s="228">
        <f t="shared" si="22"/>
        <v>93.315334534199778</v>
      </c>
      <c r="Q98" s="41">
        <f t="shared" si="23"/>
        <v>712.22157135690816</v>
      </c>
      <c r="R98" s="41">
        <f t="shared" si="24"/>
        <v>1144.5136345284798</v>
      </c>
      <c r="S98" s="215">
        <f t="shared" si="5"/>
        <v>8.5613447164300235E-2</v>
      </c>
      <c r="T98" s="215">
        <f t="shared" si="6"/>
        <v>0.34642596596031422</v>
      </c>
      <c r="U98" s="230">
        <f t="shared" si="25"/>
        <v>5.4776881917873226</v>
      </c>
      <c r="V98" s="230">
        <f t="shared" si="7"/>
        <v>5.5176881917873226</v>
      </c>
      <c r="W98" s="41">
        <f t="shared" si="26"/>
        <v>-0.31079201184428484</v>
      </c>
      <c r="X98" s="41">
        <f t="shared" si="27"/>
        <v>678.73831798390813</v>
      </c>
      <c r="Y98" s="41">
        <f t="shared" si="28"/>
        <v>90.667140694736275</v>
      </c>
      <c r="Z98" s="41">
        <f t="shared" si="29"/>
        <v>1134.6651656584709</v>
      </c>
      <c r="AA98" s="230">
        <f t="shared" si="8"/>
        <v>8.2296710675891255E-2</v>
      </c>
      <c r="AB98" s="230">
        <f t="shared" si="30"/>
        <v>-0.33866285046573619</v>
      </c>
      <c r="AC98" s="41">
        <f t="shared" si="40"/>
        <v>0.34642596596031422</v>
      </c>
      <c r="AD98" s="41">
        <f t="shared" si="9"/>
        <v>0.23092957185883872</v>
      </c>
      <c r="AE98" s="41">
        <f t="shared" si="32"/>
        <v>-1.2562461998748754E-2</v>
      </c>
      <c r="AF98" s="41">
        <f t="shared" si="10"/>
        <v>741.98689415435865</v>
      </c>
      <c r="AG98" s="41">
        <f t="shared" si="11"/>
        <v>730.77174778602</v>
      </c>
      <c r="AH98" s="41">
        <f t="shared" si="33"/>
        <v>5.6378782701806358</v>
      </c>
      <c r="AI98" s="41">
        <f t="shared" si="12"/>
        <v>302.68400087958395</v>
      </c>
      <c r="AJ98" s="41">
        <f t="shared" si="34"/>
        <v>2.956129179864365</v>
      </c>
      <c r="AK98" s="8">
        <f t="shared" si="36"/>
        <v>3.617618741188303</v>
      </c>
      <c r="AL98" s="42">
        <f t="shared" si="37"/>
        <v>0.81350782115145714</v>
      </c>
      <c r="AZ98" s="8"/>
    </row>
    <row r="99" spans="1:52" x14ac:dyDescent="0.25">
      <c r="A99" s="40"/>
      <c r="B99" s="41">
        <f t="shared" si="39"/>
        <v>741.98689415435865</v>
      </c>
      <c r="C99" s="41">
        <f t="shared" si="39"/>
        <v>730.77174778602</v>
      </c>
      <c r="D99" s="41">
        <f t="shared" si="39"/>
        <v>5.6378782701806358</v>
      </c>
      <c r="E99" s="41">
        <f t="shared" si="35"/>
        <v>16</v>
      </c>
      <c r="F99" s="41">
        <f t="shared" si="14"/>
        <v>16</v>
      </c>
      <c r="G99" s="41">
        <f t="shared" si="15"/>
        <v>844.37237772827598</v>
      </c>
      <c r="H99" s="25">
        <f t="shared" si="41"/>
        <v>0.08</v>
      </c>
      <c r="I99" s="226">
        <f t="shared" si="17"/>
        <v>8.9721170946709208</v>
      </c>
      <c r="J99" s="227">
        <f t="shared" si="38"/>
        <v>80</v>
      </c>
      <c r="K99" s="41">
        <f t="shared" si="18"/>
        <v>1</v>
      </c>
      <c r="L99" s="215">
        <f t="shared" si="19"/>
        <v>5.7178782701806359</v>
      </c>
      <c r="M99" s="215">
        <f t="shared" si="4"/>
        <v>5.6778782701806358</v>
      </c>
      <c r="N99" s="41">
        <f t="shared" si="20"/>
        <v>0.32134868585612608</v>
      </c>
      <c r="O99" s="41">
        <f t="shared" si="21"/>
        <v>7.2648785018903528</v>
      </c>
      <c r="P99" s="228">
        <f t="shared" si="22"/>
        <v>95.096434717297242</v>
      </c>
      <c r="Q99" s="41">
        <f t="shared" si="23"/>
        <v>746.75872284124296</v>
      </c>
      <c r="R99" s="41">
        <f t="shared" si="24"/>
        <v>1150.7743804577099</v>
      </c>
      <c r="S99" s="215">
        <f t="shared" si="5"/>
        <v>8.9322683921807977E-2</v>
      </c>
      <c r="T99" s="215">
        <f t="shared" si="6"/>
        <v>0.35286778333296559</v>
      </c>
      <c r="U99" s="230">
        <f t="shared" si="25"/>
        <v>5.5578782701806357</v>
      </c>
      <c r="V99" s="230">
        <f t="shared" si="7"/>
        <v>5.5978782701806358</v>
      </c>
      <c r="W99" s="41">
        <f t="shared" si="26"/>
        <v>-0.31526541956766252</v>
      </c>
      <c r="X99" s="41">
        <f t="shared" si="27"/>
        <v>712.30227752255507</v>
      </c>
      <c r="Y99" s="41">
        <f t="shared" si="28"/>
        <v>92.435539593634445</v>
      </c>
      <c r="Z99" s="41">
        <f t="shared" si="29"/>
        <v>1141.3157692863958</v>
      </c>
      <c r="AA99" s="230">
        <f t="shared" si="8"/>
        <v>8.5907317776445544E-2</v>
      </c>
      <c r="AB99" s="230">
        <f t="shared" si="30"/>
        <v>-0.34489436979275573</v>
      </c>
      <c r="AC99" s="41">
        <f t="shared" si="40"/>
        <v>0.35286778333296559</v>
      </c>
      <c r="AD99" s="41">
        <f t="shared" si="9"/>
        <v>0.22671381117417597</v>
      </c>
      <c r="AE99" s="41">
        <f t="shared" si="32"/>
        <v>-1.2057195388699779E-2</v>
      </c>
      <c r="AF99" s="41">
        <f t="shared" si="10"/>
        <v>741.95537505688185</v>
      </c>
      <c r="AG99" s="41">
        <f t="shared" si="11"/>
        <v>730.41888000268705</v>
      </c>
      <c r="AH99" s="41">
        <f t="shared" si="33"/>
        <v>5.7180791653038119</v>
      </c>
      <c r="AI99" s="41">
        <f t="shared" si="12"/>
        <v>306.63507054494528</v>
      </c>
      <c r="AJ99" s="41">
        <f t="shared" si="34"/>
        <v>3.0413055883490721</v>
      </c>
      <c r="AK99" s="8">
        <f t="shared" si="36"/>
        <v>3.8657905435270217</v>
      </c>
      <c r="AL99" s="42">
        <f t="shared" si="37"/>
        <v>0.83803862679505281</v>
      </c>
      <c r="AZ99" s="8"/>
    </row>
    <row r="100" spans="1:52" x14ac:dyDescent="0.25">
      <c r="A100" s="40"/>
      <c r="B100" s="41">
        <f t="shared" si="39"/>
        <v>741.95537505688185</v>
      </c>
      <c r="C100" s="41">
        <f t="shared" si="39"/>
        <v>730.41888000268705</v>
      </c>
      <c r="D100" s="41">
        <f t="shared" si="39"/>
        <v>5.7180791653038119</v>
      </c>
      <c r="E100" s="41">
        <f t="shared" si="35"/>
        <v>16</v>
      </c>
      <c r="F100" s="41">
        <f t="shared" si="14"/>
        <v>16</v>
      </c>
      <c r="G100" s="41">
        <f t="shared" si="15"/>
        <v>880.40702067699681</v>
      </c>
      <c r="H100" s="25">
        <f t="shared" si="41"/>
        <v>0.08</v>
      </c>
      <c r="I100" s="226">
        <f t="shared" si="17"/>
        <v>9.2291960433558415</v>
      </c>
      <c r="J100" s="227">
        <f t="shared" si="38"/>
        <v>80</v>
      </c>
      <c r="K100" s="41">
        <f t="shared" si="18"/>
        <v>1</v>
      </c>
      <c r="L100" s="215">
        <f t="shared" si="19"/>
        <v>5.798079165303812</v>
      </c>
      <c r="M100" s="215">
        <f t="shared" si="4"/>
        <v>5.7580791653038119</v>
      </c>
      <c r="N100" s="41">
        <f t="shared" si="20"/>
        <v>0.32593151883214233</v>
      </c>
      <c r="O100" s="41">
        <f t="shared" si="21"/>
        <v>7.2608986905156154</v>
      </c>
      <c r="P100" s="228">
        <f t="shared" si="22"/>
        <v>96.88616972200262</v>
      </c>
      <c r="Q100" s="41">
        <f t="shared" si="23"/>
        <v>782.29019591860674</v>
      </c>
      <c r="R100" s="41">
        <f t="shared" si="24"/>
        <v>1156.7935131439265</v>
      </c>
      <c r="S100" s="215">
        <f t="shared" si="5"/>
        <v>9.3136875774419786E-2</v>
      </c>
      <c r="T100" s="215">
        <f t="shared" si="6"/>
        <v>0.35940541645738766</v>
      </c>
      <c r="U100" s="230">
        <f t="shared" si="25"/>
        <v>5.6380791653038118</v>
      </c>
      <c r="V100" s="230">
        <f t="shared" si="7"/>
        <v>5.6780791653038118</v>
      </c>
      <c r="W100" s="41">
        <f t="shared" si="26"/>
        <v>-0.31973865674007129</v>
      </c>
      <c r="X100" s="41">
        <f t="shared" si="27"/>
        <v>746.84648326739159</v>
      </c>
      <c r="Y100" s="41">
        <f t="shared" si="28"/>
        <v>94.212691379216608</v>
      </c>
      <c r="Z100" s="41">
        <f t="shared" si="29"/>
        <v>1147.702810638151</v>
      </c>
      <c r="AA100" s="230">
        <f t="shared" si="8"/>
        <v>8.9621357507089716E-2</v>
      </c>
      <c r="AB100" s="230">
        <f t="shared" si="30"/>
        <v>-0.35121502396467003</v>
      </c>
      <c r="AC100" s="41">
        <f t="shared" si="40"/>
        <v>0.35940541645738766</v>
      </c>
      <c r="AD100" s="41">
        <f t="shared" si="9"/>
        <v>0.22258985629251105</v>
      </c>
      <c r="AE100" s="41">
        <f t="shared" si="32"/>
        <v>-1.1579699707580585E-2</v>
      </c>
      <c r="AF100" s="41">
        <f t="shared" si="10"/>
        <v>741.92190115925655</v>
      </c>
      <c r="AG100" s="41">
        <f t="shared" si="11"/>
        <v>730.05947458622961</v>
      </c>
      <c r="AH100" s="41">
        <f t="shared" si="33"/>
        <v>5.7982907684999274</v>
      </c>
      <c r="AI100" s="41">
        <f t="shared" si="12"/>
        <v>310.6910718064089</v>
      </c>
      <c r="AJ100" s="41">
        <f t="shared" si="34"/>
        <v>3.1276086638508525</v>
      </c>
      <c r="AK100" s="8">
        <f t="shared" si="36"/>
        <v>4.1281295025671456</v>
      </c>
      <c r="AL100" s="42">
        <f t="shared" si="37"/>
        <v>0.86289391253956549</v>
      </c>
      <c r="AZ100" s="8"/>
    </row>
    <row r="101" spans="1:52" x14ac:dyDescent="0.25">
      <c r="A101" s="40"/>
      <c r="B101" s="41">
        <f t="shared" si="39"/>
        <v>741.92190115925655</v>
      </c>
      <c r="C101" s="41">
        <f t="shared" si="39"/>
        <v>730.05947458622961</v>
      </c>
      <c r="D101" s="41">
        <f t="shared" si="39"/>
        <v>5.7982907684999274</v>
      </c>
      <c r="E101" s="41">
        <f t="shared" si="35"/>
        <v>16</v>
      </c>
      <c r="F101" s="41">
        <f t="shared" si="14"/>
        <v>16</v>
      </c>
      <c r="G101" s="41">
        <f t="shared" si="15"/>
        <v>917.4575306856467</v>
      </c>
      <c r="H101" s="25">
        <f t="shared" si="41"/>
        <v>0.08</v>
      </c>
      <c r="I101" s="226">
        <f t="shared" si="17"/>
        <v>9.4899412584215508</v>
      </c>
      <c r="J101" s="227">
        <f t="shared" si="38"/>
        <v>80</v>
      </c>
      <c r="K101" s="41">
        <f t="shared" si="18"/>
        <v>1</v>
      </c>
      <c r="L101" s="215">
        <f t="shared" si="19"/>
        <v>5.8782907684999275</v>
      </c>
      <c r="M101" s="215">
        <f t="shared" si="4"/>
        <v>5.8382907684999275</v>
      </c>
      <c r="N101" s="41">
        <f t="shared" si="20"/>
        <v>0.3305157378580148</v>
      </c>
      <c r="O101" s="41">
        <f t="shared" si="21"/>
        <v>7.2566720530421271</v>
      </c>
      <c r="P101" s="228">
        <f t="shared" si="22"/>
        <v>98.684462680894597</v>
      </c>
      <c r="Q101" s="41">
        <f t="shared" si="23"/>
        <v>818.83032376194035</v>
      </c>
      <c r="R101" s="41">
        <f t="shared" si="24"/>
        <v>1162.5843136118101</v>
      </c>
      <c r="S101" s="215">
        <f t="shared" si="5"/>
        <v>9.7058139473443092E-2</v>
      </c>
      <c r="T101" s="215">
        <f t="shared" si="6"/>
        <v>0.36604321087215097</v>
      </c>
      <c r="U101" s="230">
        <f t="shared" si="25"/>
        <v>5.7182907684999273</v>
      </c>
      <c r="V101" s="230">
        <f t="shared" si="7"/>
        <v>5.7582907684999274</v>
      </c>
      <c r="W101" s="41">
        <f t="shared" si="26"/>
        <v>-0.32421171698952023</v>
      </c>
      <c r="X101" s="41">
        <f t="shared" si="27"/>
        <v>782.38526411493262</v>
      </c>
      <c r="Y101" s="41">
        <f t="shared" si="28"/>
        <v>95.998516462573633</v>
      </c>
      <c r="Z101" s="41">
        <f t="shared" si="29"/>
        <v>1153.841166069255</v>
      </c>
      <c r="AA101" s="230">
        <f t="shared" si="8"/>
        <v>9.3440926510705194E-2</v>
      </c>
      <c r="AB101" s="230">
        <f t="shared" si="30"/>
        <v>-0.35762889200551223</v>
      </c>
      <c r="AC101" s="41">
        <f t="shared" si="40"/>
        <v>0.36604321087215097</v>
      </c>
      <c r="AD101" s="41">
        <f t="shared" si="9"/>
        <v>0.21855343200981223</v>
      </c>
      <c r="AE101" s="41">
        <f t="shared" si="32"/>
        <v>-1.1128077525096078E-2</v>
      </c>
      <c r="AF101" s="41">
        <f t="shared" si="10"/>
        <v>741.88637368624245</v>
      </c>
      <c r="AG101" s="41">
        <f t="shared" si="11"/>
        <v>729.69343137535748</v>
      </c>
      <c r="AH101" s="41">
        <f t="shared" si="33"/>
        <v>5.8785129755620069</v>
      </c>
      <c r="AI101" s="41">
        <f t="shared" si="12"/>
        <v>314.85304470947273</v>
      </c>
      <c r="AJ101" s="41">
        <f t="shared" si="34"/>
        <v>3.2150678429368171</v>
      </c>
      <c r="AK101" s="8">
        <f t="shared" si="36"/>
        <v>4.4053283336108935</v>
      </c>
      <c r="AL101" s="42">
        <f t="shared" si="37"/>
        <v>0.88808215611632335</v>
      </c>
      <c r="AZ101" s="8"/>
    </row>
    <row r="102" spans="1:52" x14ac:dyDescent="0.25">
      <c r="A102" s="40"/>
      <c r="B102" s="41">
        <f t="shared" si="39"/>
        <v>741.88637368624245</v>
      </c>
      <c r="C102" s="41">
        <f t="shared" si="39"/>
        <v>729.69343137535748</v>
      </c>
      <c r="D102" s="41">
        <f t="shared" si="39"/>
        <v>5.8785129755620069</v>
      </c>
      <c r="E102" s="41">
        <f t="shared" si="35"/>
        <v>16</v>
      </c>
      <c r="F102" s="41">
        <f t="shared" si="14"/>
        <v>16</v>
      </c>
      <c r="G102" s="41">
        <f t="shared" si="15"/>
        <v>955.53825342415598</v>
      </c>
      <c r="H102" s="25">
        <f t="shared" si="41"/>
        <v>0.08</v>
      </c>
      <c r="I102" s="226">
        <f t="shared" si="17"/>
        <v>9.7543538487079786</v>
      </c>
      <c r="J102" s="227">
        <f t="shared" si="38"/>
        <v>80</v>
      </c>
      <c r="K102" s="41">
        <f t="shared" si="18"/>
        <v>1</v>
      </c>
      <c r="L102" s="215">
        <f t="shared" si="19"/>
        <v>5.958512975562007</v>
      </c>
      <c r="M102" s="215">
        <f t="shared" si="4"/>
        <v>5.918512975562007</v>
      </c>
      <c r="N102" s="41">
        <f t="shared" si="20"/>
        <v>0.33510133728673352</v>
      </c>
      <c r="O102" s="41">
        <f t="shared" si="21"/>
        <v>7.252186117449547</v>
      </c>
      <c r="P102" s="228">
        <f t="shared" si="22"/>
        <v>100.49123850060762</v>
      </c>
      <c r="Q102" s="41">
        <f t="shared" si="23"/>
        <v>856.39344747112409</v>
      </c>
      <c r="R102" s="41">
        <f t="shared" si="24"/>
        <v>1168.1591197746529</v>
      </c>
      <c r="S102" s="215">
        <f t="shared" si="5"/>
        <v>0.10108864859802032</v>
      </c>
      <c r="T102" s="215">
        <f t="shared" si="6"/>
        <v>0.37278574440526924</v>
      </c>
      <c r="U102" s="230">
        <f t="shared" si="25"/>
        <v>5.7985129755620068</v>
      </c>
      <c r="V102" s="230">
        <f t="shared" si="7"/>
        <v>5.8385129755620069</v>
      </c>
      <c r="W102" s="41">
        <f t="shared" si="26"/>
        <v>-0.32868459419625395</v>
      </c>
      <c r="X102" s="41">
        <f t="shared" si="27"/>
        <v>818.93295690674995</v>
      </c>
      <c r="Y102" s="41">
        <f t="shared" si="28"/>
        <v>97.792937127657439</v>
      </c>
      <c r="Z102" s="41">
        <f t="shared" si="29"/>
        <v>1159.744627393683</v>
      </c>
      <c r="AA102" s="230">
        <f t="shared" si="8"/>
        <v>9.7368176946263679E-2</v>
      </c>
      <c r="AB102" s="230">
        <f t="shared" si="30"/>
        <v>-0.3641402682704733</v>
      </c>
      <c r="AC102" s="41">
        <f t="shared" si="40"/>
        <v>0.37278574440526924</v>
      </c>
      <c r="AD102" s="41">
        <f t="shared" si="9"/>
        <v>0.21460048084089028</v>
      </c>
      <c r="AE102" s="41">
        <f t="shared" si="32"/>
        <v>-1.070058540799247E-2</v>
      </c>
      <c r="AF102" s="41">
        <f t="shared" si="10"/>
        <v>741.84868927912396</v>
      </c>
      <c r="AG102" s="41">
        <f t="shared" si="11"/>
        <v>729.32064563095219</v>
      </c>
      <c r="AH102" s="41">
        <f t="shared" si="33"/>
        <v>5.9587456864948534</v>
      </c>
      <c r="AI102" s="41">
        <f t="shared" si="12"/>
        <v>319.12240215800614</v>
      </c>
      <c r="AJ102" s="41">
        <f t="shared" si="34"/>
        <v>3.3037129546473745</v>
      </c>
      <c r="AK102" s="8">
        <f t="shared" si="36"/>
        <v>4.6981095846812497</v>
      </c>
      <c r="AL102" s="42">
        <f t="shared" si="37"/>
        <v>0.91361194828896386</v>
      </c>
      <c r="AZ102" s="8"/>
    </row>
    <row r="103" spans="1:52" x14ac:dyDescent="0.25">
      <c r="A103" s="40"/>
      <c r="B103" s="41">
        <f t="shared" si="39"/>
        <v>741.84868927912396</v>
      </c>
      <c r="C103" s="41">
        <f t="shared" si="39"/>
        <v>729.32064563095219</v>
      </c>
      <c r="D103" s="41">
        <f t="shared" si="39"/>
        <v>5.9587456864948534</v>
      </c>
      <c r="E103" s="41">
        <f t="shared" si="35"/>
        <v>16</v>
      </c>
      <c r="F103" s="41">
        <f t="shared" si="14"/>
        <v>16</v>
      </c>
      <c r="G103" s="41">
        <f t="shared" si="15"/>
        <v>984.87046603898057</v>
      </c>
      <c r="H103" s="25">
        <f t="shared" si="41"/>
        <v>0.06</v>
      </c>
      <c r="I103" s="226">
        <f t="shared" si="17"/>
        <v>10.022434918537421</v>
      </c>
      <c r="J103" s="227">
        <f t="shared" si="38"/>
        <v>80</v>
      </c>
      <c r="K103" s="41">
        <f t="shared" si="18"/>
        <v>1</v>
      </c>
      <c r="L103" s="215">
        <f t="shared" si="19"/>
        <v>6.018745686494853</v>
      </c>
      <c r="M103" s="215">
        <f t="shared" si="4"/>
        <v>5.9887456864948536</v>
      </c>
      <c r="N103" s="41">
        <f t="shared" si="20"/>
        <v>0.25508859915913717</v>
      </c>
      <c r="O103" s="41">
        <f t="shared" si="21"/>
        <v>7.2474278329773858</v>
      </c>
      <c r="P103" s="228">
        <f t="shared" si="22"/>
        <v>101.96561538222238</v>
      </c>
      <c r="Q103" s="41">
        <f t="shared" si="23"/>
        <v>890.1260509715471</v>
      </c>
      <c r="R103" s="41">
        <f t="shared" si="24"/>
        <v>1172.5380696021086</v>
      </c>
      <c r="S103" s="215">
        <f t="shared" si="5"/>
        <v>0.10474677483769251</v>
      </c>
      <c r="T103" s="215">
        <f t="shared" si="6"/>
        <v>0.28493457715596626</v>
      </c>
      <c r="U103" s="230">
        <f t="shared" si="25"/>
        <v>5.8987456864948538</v>
      </c>
      <c r="V103" s="230">
        <f t="shared" si="7"/>
        <v>5.9287456864948531</v>
      </c>
      <c r="W103" s="41">
        <f t="shared" si="26"/>
        <v>-0.24954559648140417</v>
      </c>
      <c r="X103" s="41">
        <f t="shared" si="27"/>
        <v>861.25873343943931</v>
      </c>
      <c r="Y103" s="41">
        <f t="shared" si="28"/>
        <v>99.932705630663108</v>
      </c>
      <c r="Z103" s="41">
        <f t="shared" si="29"/>
        <v>1166.4608834219557</v>
      </c>
      <c r="AA103" s="230">
        <f t="shared" si="8"/>
        <v>0.10187780040385896</v>
      </c>
      <c r="AB103" s="230">
        <f t="shared" si="30"/>
        <v>-0.2778526091367271</v>
      </c>
      <c r="AC103" s="41">
        <f t="shared" si="40"/>
        <v>0.28493457715596626</v>
      </c>
      <c r="AD103" s="41">
        <f t="shared" si="9"/>
        <v>0.21057465400963765</v>
      </c>
      <c r="AE103" s="41">
        <f t="shared" si="32"/>
        <v>-1.2241758994754786E-2</v>
      </c>
      <c r="AF103" s="41">
        <f t="shared" si="10"/>
        <v>741.81884330112712</v>
      </c>
      <c r="AG103" s="41">
        <f t="shared" si="11"/>
        <v>729.03571105379626</v>
      </c>
      <c r="AH103" s="41">
        <f t="shared" si="33"/>
        <v>6.0191042125345069</v>
      </c>
      <c r="AI103" s="41">
        <f t="shared" si="12"/>
        <v>243.00667461710347</v>
      </c>
      <c r="AJ103" s="41">
        <f t="shared" si="34"/>
        <v>3.371214808707681</v>
      </c>
      <c r="AK103" s="8">
        <f t="shared" si="36"/>
        <v>4.9303117581152893</v>
      </c>
      <c r="AL103" s="42">
        <f t="shared" si="37"/>
        <v>0.93305248225833215</v>
      </c>
      <c r="AZ103" s="8"/>
    </row>
    <row r="104" spans="1:52" x14ac:dyDescent="0.25">
      <c r="A104" s="40"/>
      <c r="B104" s="41">
        <f t="shared" si="39"/>
        <v>741.81884330112712</v>
      </c>
      <c r="C104" s="41">
        <f t="shared" si="39"/>
        <v>729.03571105379626</v>
      </c>
      <c r="D104" s="41">
        <f t="shared" si="39"/>
        <v>6.0191042125345069</v>
      </c>
      <c r="E104" s="41">
        <f t="shared" si="35"/>
        <v>16</v>
      </c>
      <c r="F104" s="41">
        <f t="shared" si="14"/>
        <v>16</v>
      </c>
      <c r="G104" s="41">
        <f t="shared" si="15"/>
        <v>1014.8002144148969</v>
      </c>
      <c r="H104" s="25">
        <f t="shared" si="41"/>
        <v>0.06</v>
      </c>
      <c r="I104" s="226">
        <f t="shared" si="17"/>
        <v>10.226505797864684</v>
      </c>
      <c r="J104" s="227">
        <f t="shared" si="38"/>
        <v>80</v>
      </c>
      <c r="K104" s="41">
        <f t="shared" si="18"/>
        <v>1</v>
      </c>
      <c r="L104" s="215">
        <f t="shared" si="19"/>
        <v>6.0791042125345065</v>
      </c>
      <c r="M104" s="215">
        <f t="shared" si="4"/>
        <v>6.0491042125345071</v>
      </c>
      <c r="N104" s="41">
        <f t="shared" si="20"/>
        <v>0.25768791920425826</v>
      </c>
      <c r="O104" s="41">
        <f t="shared" si="21"/>
        <v>7.2436592808223175</v>
      </c>
      <c r="P104" s="228">
        <f t="shared" si="22"/>
        <v>103.33538109834646</v>
      </c>
      <c r="Q104" s="41">
        <f t="shared" si="23"/>
        <v>919.75538771844663</v>
      </c>
      <c r="R104" s="41">
        <f t="shared" si="24"/>
        <v>1176.4763854864134</v>
      </c>
      <c r="S104" s="215">
        <f t="shared" si="5"/>
        <v>0.10792725014568263</v>
      </c>
      <c r="T104" s="215">
        <f t="shared" si="6"/>
        <v>0.28886424257028448</v>
      </c>
      <c r="U104" s="230">
        <f t="shared" si="25"/>
        <v>5.9591042125345073</v>
      </c>
      <c r="V104" s="230">
        <f t="shared" si="7"/>
        <v>5.9891042125345066</v>
      </c>
      <c r="W104" s="41">
        <f t="shared" si="26"/>
        <v>-0.25205791869129257</v>
      </c>
      <c r="X104" s="41">
        <f t="shared" si="27"/>
        <v>890.30029594312396</v>
      </c>
      <c r="Y104" s="41">
        <f t="shared" si="28"/>
        <v>101.29561663556998</v>
      </c>
      <c r="Z104" s="41">
        <f t="shared" si="29"/>
        <v>1170.5665465342984</v>
      </c>
      <c r="AA104" s="230">
        <f t="shared" si="8"/>
        <v>0.10499833084642676</v>
      </c>
      <c r="AB104" s="230">
        <f t="shared" si="30"/>
        <v>-0.28162843420132433</v>
      </c>
      <c r="AC104" s="41">
        <f t="shared" si="40"/>
        <v>0.28886424257028448</v>
      </c>
      <c r="AD104" s="41">
        <f t="shared" si="9"/>
        <v>0.20771002830300536</v>
      </c>
      <c r="AE104" s="41">
        <f t="shared" si="32"/>
        <v>-9.9847737853450188E-3</v>
      </c>
      <c r="AF104" s="41">
        <f t="shared" si="10"/>
        <v>741.78766697776109</v>
      </c>
      <c r="AG104" s="41">
        <f t="shared" si="11"/>
        <v>728.74684681122596</v>
      </c>
      <c r="AH104" s="41">
        <f t="shared" si="33"/>
        <v>6.079469369159205</v>
      </c>
      <c r="AI104" s="41">
        <f t="shared" si="12"/>
        <v>245.53339627879888</v>
      </c>
      <c r="AJ104" s="41">
        <f t="shared" si="34"/>
        <v>3.4394185298962361</v>
      </c>
      <c r="AK104" s="8">
        <f t="shared" si="36"/>
        <v>5.1721303485365233</v>
      </c>
      <c r="AL104" s="42">
        <f t="shared" si="37"/>
        <v>0.95269515396063609</v>
      </c>
      <c r="AZ104" s="8"/>
    </row>
    <row r="105" spans="1:52" x14ac:dyDescent="0.25">
      <c r="A105" s="40"/>
      <c r="B105" s="41">
        <f t="shared" si="39"/>
        <v>741.78766697776109</v>
      </c>
      <c r="C105" s="41">
        <f t="shared" si="39"/>
        <v>728.74684681122596</v>
      </c>
      <c r="D105" s="41">
        <f t="shared" si="39"/>
        <v>6.079469369159205</v>
      </c>
      <c r="E105" s="41">
        <f t="shared" si="35"/>
        <v>16</v>
      </c>
      <c r="F105" s="41">
        <f t="shared" si="14"/>
        <v>16</v>
      </c>
      <c r="G105" s="41">
        <f t="shared" si="15"/>
        <v>1045.3336414978071</v>
      </c>
      <c r="H105" s="25">
        <f t="shared" si="41"/>
        <v>0.06</v>
      </c>
      <c r="I105" s="226">
        <f t="shared" si="17"/>
        <v>10.432656133228102</v>
      </c>
      <c r="J105" s="227">
        <f t="shared" si="38"/>
        <v>80</v>
      </c>
      <c r="K105" s="41">
        <f t="shared" si="18"/>
        <v>1</v>
      </c>
      <c r="L105" s="215">
        <f t="shared" si="19"/>
        <v>6.1394693691592046</v>
      </c>
      <c r="M105" s="215">
        <f t="shared" si="4"/>
        <v>6.1094693691592052</v>
      </c>
      <c r="N105" s="41">
        <f t="shared" si="20"/>
        <v>0.26028796326322734</v>
      </c>
      <c r="O105" s="41">
        <f t="shared" si="21"/>
        <v>7.2397227503919677</v>
      </c>
      <c r="P105" s="228">
        <f t="shared" si="22"/>
        <v>104.70985957018765</v>
      </c>
      <c r="Q105" s="41">
        <f t="shared" si="23"/>
        <v>949.98530592664019</v>
      </c>
      <c r="R105" s="41">
        <f t="shared" si="24"/>
        <v>1180.3083178589911</v>
      </c>
      <c r="S105" s="215">
        <f t="shared" si="5"/>
        <v>0.11117304094071769</v>
      </c>
      <c r="T105" s="215">
        <f t="shared" si="6"/>
        <v>0.29284436144771214</v>
      </c>
      <c r="U105" s="230">
        <f t="shared" si="25"/>
        <v>6.0194693691592054</v>
      </c>
      <c r="V105" s="230">
        <f t="shared" si="7"/>
        <v>6.0494693691592047</v>
      </c>
      <c r="W105" s="41">
        <f t="shared" si="26"/>
        <v>-0.25457007841829693</v>
      </c>
      <c r="X105" s="41">
        <f t="shared" si="27"/>
        <v>919.93645056409503</v>
      </c>
      <c r="Y105" s="41">
        <f t="shared" si="28"/>
        <v>102.6632852785646</v>
      </c>
      <c r="Z105" s="41">
        <f t="shared" si="29"/>
        <v>1174.5592472041351</v>
      </c>
      <c r="AA105" s="230">
        <f t="shared" si="8"/>
        <v>0.10818348407497688</v>
      </c>
      <c r="AB105" s="230">
        <f t="shared" si="30"/>
        <v>-0.28545118179858781</v>
      </c>
      <c r="AC105" s="41">
        <f t="shared" si="40"/>
        <v>0.29284436144771214</v>
      </c>
      <c r="AD105" s="41">
        <f t="shared" si="9"/>
        <v>0.20488699083493569</v>
      </c>
      <c r="AE105" s="41">
        <f t="shared" si="32"/>
        <v>-9.7060192975324429E-3</v>
      </c>
      <c r="AF105" s="41">
        <f t="shared" si="10"/>
        <v>741.75511057957658</v>
      </c>
      <c r="AG105" s="41">
        <f t="shared" si="11"/>
        <v>728.45400244977827</v>
      </c>
      <c r="AH105" s="41">
        <f t="shared" si="33"/>
        <v>6.1398411279026357</v>
      </c>
      <c r="AI105" s="41">
        <f t="shared" si="12"/>
        <v>248.10836034682393</v>
      </c>
      <c r="AJ105" s="41">
        <f t="shared" si="34"/>
        <v>3.5083375188814649</v>
      </c>
      <c r="AK105" s="8">
        <f t="shared" si="36"/>
        <v>5.4239107658146084</v>
      </c>
      <c r="AL105" s="42">
        <f t="shared" si="37"/>
        <v>0.97254382278838203</v>
      </c>
      <c r="AZ105" s="8"/>
    </row>
    <row r="106" spans="1:52" x14ac:dyDescent="0.25">
      <c r="A106" s="40"/>
      <c r="B106" s="41">
        <f t="shared" si="39"/>
        <v>741.75511057957658</v>
      </c>
      <c r="C106" s="41">
        <f t="shared" si="39"/>
        <v>728.45400244977827</v>
      </c>
      <c r="D106" s="41">
        <f t="shared" si="39"/>
        <v>6.1398411279026357</v>
      </c>
      <c r="E106" s="41">
        <f t="shared" si="35"/>
        <v>16</v>
      </c>
      <c r="F106" s="41">
        <f t="shared" si="14"/>
        <v>16</v>
      </c>
      <c r="G106" s="41">
        <f t="shared" si="15"/>
        <v>1076.4768934722917</v>
      </c>
      <c r="H106" s="25">
        <f t="shared" si="41"/>
        <v>0.06</v>
      </c>
      <c r="I106" s="226">
        <f t="shared" si="17"/>
        <v>10.640886503838647</v>
      </c>
      <c r="J106" s="227">
        <f t="shared" si="38"/>
        <v>80</v>
      </c>
      <c r="K106" s="41">
        <f t="shared" si="18"/>
        <v>1</v>
      </c>
      <c r="L106" s="215">
        <f t="shared" si="19"/>
        <v>6.1998411279026353</v>
      </c>
      <c r="M106" s="215">
        <f t="shared" si="4"/>
        <v>6.1698411279026359</v>
      </c>
      <c r="N106" s="41">
        <f t="shared" si="20"/>
        <v>0.26288873025411164</v>
      </c>
      <c r="O106" s="41">
        <f t="shared" si="21"/>
        <v>7.235611962514537</v>
      </c>
      <c r="P106" s="228">
        <f t="shared" si="22"/>
        <v>106.08902164157936</v>
      </c>
      <c r="Q106" s="41">
        <f t="shared" si="23"/>
        <v>980.82194989954132</v>
      </c>
      <c r="R106" s="41">
        <f t="shared" si="24"/>
        <v>1184.0379772349115</v>
      </c>
      <c r="S106" s="215">
        <f t="shared" si="5"/>
        <v>0.11448518123321941</v>
      </c>
      <c r="T106" s="215">
        <f t="shared" si="6"/>
        <v>0.29687671474569532</v>
      </c>
      <c r="U106" s="230">
        <f t="shared" si="25"/>
        <v>6.0798411279026361</v>
      </c>
      <c r="V106" s="230">
        <f t="shared" si="7"/>
        <v>6.1098411279026354</v>
      </c>
      <c r="W106" s="41">
        <f t="shared" si="26"/>
        <v>-0.25708207433352115</v>
      </c>
      <c r="X106" s="41">
        <f t="shared" si="27"/>
        <v>950.17333993749867</v>
      </c>
      <c r="Y106" s="41">
        <f t="shared" si="28"/>
        <v>104.03568166908617</v>
      </c>
      <c r="Z106" s="41">
        <f t="shared" si="29"/>
        <v>1178.4434313550653</v>
      </c>
      <c r="AA106" s="230">
        <f t="shared" si="8"/>
        <v>0.11143428547504905</v>
      </c>
      <c r="AB106" s="230">
        <f t="shared" si="30"/>
        <v>-0.28932252295032962</v>
      </c>
      <c r="AC106" s="41">
        <f t="shared" si="40"/>
        <v>0.29687671474569532</v>
      </c>
      <c r="AD106" s="41">
        <f t="shared" si="9"/>
        <v>0.20210409580756786</v>
      </c>
      <c r="AE106" s="41">
        <f t="shared" si="32"/>
        <v>-9.4380043030890329E-3</v>
      </c>
      <c r="AF106" s="41">
        <f t="shared" si="10"/>
        <v>741.72112259508503</v>
      </c>
      <c r="AG106" s="41">
        <f t="shared" si="11"/>
        <v>728.15712573503254</v>
      </c>
      <c r="AH106" s="41">
        <f t="shared" si="33"/>
        <v>6.2002194611388344</v>
      </c>
      <c r="AI106" s="41">
        <f t="shared" si="12"/>
        <v>250.73242620054526</v>
      </c>
      <c r="AJ106" s="41">
        <f t="shared" si="34"/>
        <v>3.5779854150482833</v>
      </c>
      <c r="AK106" s="8">
        <f t="shared" si="36"/>
        <v>5.6860098059364041</v>
      </c>
      <c r="AL106" s="42">
        <f t="shared" si="37"/>
        <v>0.99260241688442563</v>
      </c>
      <c r="AZ106" s="8"/>
    </row>
    <row r="107" spans="1:52" x14ac:dyDescent="0.25">
      <c r="A107" s="40"/>
      <c r="B107" s="41">
        <f t="shared" si="39"/>
        <v>741.72112259508503</v>
      </c>
      <c r="C107" s="41">
        <f t="shared" si="39"/>
        <v>728.15712573503254</v>
      </c>
      <c r="D107" s="41">
        <f t="shared" si="39"/>
        <v>6.2002194611388344</v>
      </c>
      <c r="E107" s="41">
        <f t="shared" si="35"/>
        <v>16</v>
      </c>
      <c r="F107" s="41">
        <f t="shared" si="14"/>
        <v>16</v>
      </c>
      <c r="G107" s="41">
        <f t="shared" si="15"/>
        <v>1108.2361197600551</v>
      </c>
      <c r="H107" s="25">
        <f t="shared" si="41"/>
        <v>0.06</v>
      </c>
      <c r="I107" s="226">
        <f t="shared" si="17"/>
        <v>10.851197488041999</v>
      </c>
      <c r="J107" s="227">
        <f t="shared" si="38"/>
        <v>80</v>
      </c>
      <c r="K107" s="41">
        <f t="shared" si="18"/>
        <v>1</v>
      </c>
      <c r="L107" s="215">
        <f t="shared" si="19"/>
        <v>6.260219461138834</v>
      </c>
      <c r="M107" s="215">
        <f t="shared" si="4"/>
        <v>6.2302194611388337</v>
      </c>
      <c r="N107" s="41">
        <f t="shared" si="20"/>
        <v>0.26549021913039539</v>
      </c>
      <c r="O107" s="41">
        <f t="shared" si="21"/>
        <v>7.2313204130060704</v>
      </c>
      <c r="P107" s="228">
        <f t="shared" si="22"/>
        <v>107.47283863659803</v>
      </c>
      <c r="Q107" s="41">
        <f t="shared" si="23"/>
        <v>1012.2714671783579</v>
      </c>
      <c r="R107" s="41">
        <f t="shared" si="24"/>
        <v>1187.6692680185597</v>
      </c>
      <c r="S107" s="215">
        <f t="shared" si="5"/>
        <v>0.11786473160514105</v>
      </c>
      <c r="T107" s="215">
        <f t="shared" si="6"/>
        <v>0.30096316136807877</v>
      </c>
      <c r="U107" s="230">
        <f t="shared" si="25"/>
        <v>6.1402194611388348</v>
      </c>
      <c r="V107" s="230">
        <f t="shared" si="7"/>
        <v>6.170219461138835</v>
      </c>
      <c r="W107" s="41">
        <f t="shared" si="26"/>
        <v>-0.25959390514391245</v>
      </c>
      <c r="X107" s="41">
        <f t="shared" si="27"/>
        <v>981.01710993876441</v>
      </c>
      <c r="Y107" s="41">
        <f t="shared" si="28"/>
        <v>105.41277641581766</v>
      </c>
      <c r="Z107" s="41">
        <f t="shared" si="29"/>
        <v>1182.2233178446061</v>
      </c>
      <c r="AA107" s="230">
        <f t="shared" si="8"/>
        <v>0.11475178658390915</v>
      </c>
      <c r="AB107" s="230">
        <f t="shared" si="30"/>
        <v>-0.29324420112881516</v>
      </c>
      <c r="AC107" s="41">
        <f t="shared" si="40"/>
        <v>0.30096316136807877</v>
      </c>
      <c r="AD107" s="41">
        <f t="shared" si="9"/>
        <v>0.19935994733461693</v>
      </c>
      <c r="AE107" s="41">
        <f t="shared" si="32"/>
        <v>-9.1802122360559804E-3</v>
      </c>
      <c r="AF107" s="41">
        <f t="shared" si="10"/>
        <v>741.68564965284736</v>
      </c>
      <c r="AG107" s="41">
        <f t="shared" si="11"/>
        <v>727.85616257366451</v>
      </c>
      <c r="AH107" s="41">
        <f t="shared" si="33"/>
        <v>6.2606043420498123</v>
      </c>
      <c r="AI107" s="41">
        <f t="shared" si="12"/>
        <v>253.40654125890512</v>
      </c>
      <c r="AJ107" s="41">
        <f t="shared" si="34"/>
        <v>3.6483761209535346</v>
      </c>
      <c r="AK107" s="8">
        <f t="shared" si="36"/>
        <v>5.9587960922563488</v>
      </c>
      <c r="AL107" s="42">
        <f t="shared" si="37"/>
        <v>1.012874940185138</v>
      </c>
      <c r="AZ107" s="8"/>
    </row>
    <row r="108" spans="1:52" x14ac:dyDescent="0.25">
      <c r="A108" s="40"/>
      <c r="B108" s="41">
        <f t="shared" si="39"/>
        <v>741.68564965284736</v>
      </c>
      <c r="C108" s="41">
        <f t="shared" si="39"/>
        <v>727.85616257366451</v>
      </c>
      <c r="D108" s="41">
        <f t="shared" si="39"/>
        <v>6.2606043420498123</v>
      </c>
      <c r="E108" s="41">
        <f t="shared" si="35"/>
        <v>16</v>
      </c>
      <c r="F108" s="41">
        <f t="shared" si="14"/>
        <v>16</v>
      </c>
      <c r="G108" s="41">
        <f t="shared" si="15"/>
        <v>1140.6174730182854</v>
      </c>
      <c r="H108" s="25">
        <f t="shared" si="41"/>
        <v>0.06</v>
      </c>
      <c r="I108" s="226">
        <f t="shared" si="17"/>
        <v>11.063589663346285</v>
      </c>
      <c r="J108" s="227">
        <f t="shared" si="38"/>
        <v>80</v>
      </c>
      <c r="K108" s="41">
        <f t="shared" si="18"/>
        <v>1</v>
      </c>
      <c r="L108" s="215">
        <f t="shared" si="19"/>
        <v>6.3206043420498119</v>
      </c>
      <c r="M108" s="215">
        <f t="shared" si="4"/>
        <v>6.2906043420498126</v>
      </c>
      <c r="N108" s="41">
        <f t="shared" si="20"/>
        <v>0.26809242887963336</v>
      </c>
      <c r="O108" s="41">
        <f t="shared" si="21"/>
        <v>7.22684136283286</v>
      </c>
      <c r="P108" s="228">
        <f t="shared" si="22"/>
        <v>108.86128234716085</v>
      </c>
      <c r="Q108" s="41">
        <f t="shared" si="23"/>
        <v>1044.3400085404146</v>
      </c>
      <c r="R108" s="41">
        <f t="shared" si="24"/>
        <v>1191.2059011737877</v>
      </c>
      <c r="S108" s="215">
        <f t="shared" si="5"/>
        <v>0.12131278088557454</v>
      </c>
      <c r="T108" s="215">
        <f t="shared" si="6"/>
        <v>0.30510564288146486</v>
      </c>
      <c r="U108" s="230">
        <f t="shared" si="25"/>
        <v>6.2006043420498127</v>
      </c>
      <c r="V108" s="230">
        <f t="shared" si="7"/>
        <v>6.2306043420498121</v>
      </c>
      <c r="W108" s="41">
        <f t="shared" si="26"/>
        <v>-0.26210556959080122</v>
      </c>
      <c r="X108" s="41">
        <f t="shared" si="27"/>
        <v>1012.47390968185</v>
      </c>
      <c r="Y108" s="41">
        <f t="shared" si="28"/>
        <v>106.79454061361442</v>
      </c>
      <c r="Z108" s="41">
        <f t="shared" si="29"/>
        <v>1185.9029126801374</v>
      </c>
      <c r="AA108" s="230">
        <f t="shared" si="8"/>
        <v>0.11813706674321316</v>
      </c>
      <c r="AB108" s="230">
        <f t="shared" si="30"/>
        <v>-0.29721803662030044</v>
      </c>
      <c r="AC108" s="41">
        <f t="shared" si="40"/>
        <v>0.30510564288146486</v>
      </c>
      <c r="AD108" s="41">
        <f t="shared" si="9"/>
        <v>0.19665319668738579</v>
      </c>
      <c r="AE108" s="41">
        <f t="shared" si="32"/>
        <v>-8.9321563104794149E-3</v>
      </c>
      <c r="AF108" s="41">
        <f t="shared" si="10"/>
        <v>741.64863643884553</v>
      </c>
      <c r="AG108" s="41">
        <f t="shared" si="11"/>
        <v>727.55105693078303</v>
      </c>
      <c r="AH108" s="41">
        <f t="shared" si="33"/>
        <v>6.3209957445950637</v>
      </c>
      <c r="AI108" s="41">
        <f t="shared" si="12"/>
        <v>256.13174227966852</v>
      </c>
      <c r="AJ108" s="41">
        <f t="shared" si="34"/>
        <v>3.7195238271423312</v>
      </c>
      <c r="AK108" s="8">
        <f t="shared" si="36"/>
        <v>6.2426505404677508</v>
      </c>
      <c r="AL108" s="42">
        <f t="shared" si="37"/>
        <v>1.0333654795675116</v>
      </c>
      <c r="AZ108" s="8"/>
    </row>
    <row r="109" spans="1:52" x14ac:dyDescent="0.25">
      <c r="A109" s="40"/>
      <c r="B109" s="41">
        <f t="shared" si="39"/>
        <v>741.64863643884553</v>
      </c>
      <c r="C109" s="41">
        <f t="shared" si="39"/>
        <v>727.55105693078303</v>
      </c>
      <c r="D109" s="41">
        <f t="shared" si="39"/>
        <v>6.3209957445950637</v>
      </c>
      <c r="E109" s="41">
        <f t="shared" si="35"/>
        <v>16</v>
      </c>
      <c r="F109" s="41">
        <f t="shared" si="14"/>
        <v>16</v>
      </c>
      <c r="G109" s="41">
        <f t="shared" si="15"/>
        <v>1173.6271091382698</v>
      </c>
      <c r="H109" s="25">
        <f t="shared" si="41"/>
        <v>0.06</v>
      </c>
      <c r="I109" s="226">
        <f t="shared" si="17"/>
        <v>11.278063606449997</v>
      </c>
      <c r="J109" s="227">
        <f t="shared" si="38"/>
        <v>80</v>
      </c>
      <c r="K109" s="41">
        <f t="shared" si="18"/>
        <v>1</v>
      </c>
      <c r="L109" s="215">
        <f t="shared" si="19"/>
        <v>6.3809957445950634</v>
      </c>
      <c r="M109" s="215">
        <f t="shared" si="4"/>
        <v>6.350995744595064</v>
      </c>
      <c r="N109" s="41">
        <f t="shared" si="20"/>
        <v>0.27069535852206172</v>
      </c>
      <c r="O109" s="41">
        <f t="shared" si="21"/>
        <v>7.2221678276782288</v>
      </c>
      <c r="P109" s="228">
        <f t="shared" si="22"/>
        <v>110.25432502106641</v>
      </c>
      <c r="Q109" s="41">
        <f t="shared" si="23"/>
        <v>1077.0337279977357</v>
      </c>
      <c r="R109" s="41">
        <f t="shared" si="24"/>
        <v>1194.6514059742153</v>
      </c>
      <c r="S109" s="215">
        <f t="shared" si="5"/>
        <v>0.1248304479278602</v>
      </c>
      <c r="T109" s="215">
        <f t="shared" si="6"/>
        <v>0.30930618859069775</v>
      </c>
      <c r="U109" s="230">
        <f t="shared" si="25"/>
        <v>6.2609957445950641</v>
      </c>
      <c r="V109" s="230">
        <f t="shared" si="7"/>
        <v>6.2909957445950635</v>
      </c>
      <c r="W109" s="41">
        <f t="shared" si="26"/>
        <v>-0.26461706644859717</v>
      </c>
      <c r="X109" s="41">
        <f t="shared" si="27"/>
        <v>1044.5498915177479</v>
      </c>
      <c r="Y109" s="41">
        <f t="shared" si="28"/>
        <v>108.18094583090603</v>
      </c>
      <c r="Z109" s="41">
        <f t="shared" si="29"/>
        <v>1189.486022183863</v>
      </c>
      <c r="AA109" s="230">
        <f t="shared" si="8"/>
        <v>0.1215912348514479</v>
      </c>
      <c r="AB109" s="230">
        <f t="shared" si="30"/>
        <v>-0.30124593121955751</v>
      </c>
      <c r="AC109" s="41">
        <f t="shared" si="40"/>
        <v>0.30930618859069775</v>
      </c>
      <c r="AD109" s="41">
        <f t="shared" si="9"/>
        <v>0.19398253967494161</v>
      </c>
      <c r="AE109" s="41">
        <f t="shared" si="32"/>
        <v>-8.6933775544170266E-3</v>
      </c>
      <c r="AF109" s="41">
        <f t="shared" si="10"/>
        <v>741.61002560877694</v>
      </c>
      <c r="AG109" s="41">
        <f t="shared" si="11"/>
        <v>727.24175074219238</v>
      </c>
      <c r="AH109" s="41">
        <f t="shared" si="33"/>
        <v>6.3813936434821716</v>
      </c>
      <c r="AI109" s="41">
        <f t="shared" si="12"/>
        <v>258.90915713480831</v>
      </c>
      <c r="AJ109" s="41">
        <f t="shared" si="34"/>
        <v>3.7914430374575558</v>
      </c>
      <c r="AK109" s="8">
        <f t="shared" si="36"/>
        <v>6.5379668490201501</v>
      </c>
      <c r="AL109" s="42">
        <f t="shared" si="37"/>
        <v>1.0540782121382963</v>
      </c>
      <c r="AZ109" s="8"/>
    </row>
    <row r="110" spans="1:52" x14ac:dyDescent="0.25">
      <c r="A110" s="40"/>
      <c r="B110" s="41">
        <f t="shared" si="39"/>
        <v>741.61002560877694</v>
      </c>
      <c r="C110" s="41">
        <f t="shared" si="39"/>
        <v>727.24175074219238</v>
      </c>
      <c r="D110" s="41">
        <f t="shared" si="39"/>
        <v>6.3813936434821716</v>
      </c>
      <c r="E110" s="41">
        <f t="shared" si="35"/>
        <v>16</v>
      </c>
      <c r="F110" s="41">
        <f t="shared" si="14"/>
        <v>16</v>
      </c>
      <c r="G110" s="41">
        <f t="shared" si="15"/>
        <v>1207.2711872439218</v>
      </c>
      <c r="H110" s="25">
        <f t="shared" si="41"/>
        <v>0.06</v>
      </c>
      <c r="I110" s="226">
        <f t="shared" si="17"/>
        <v>11.494619893267647</v>
      </c>
      <c r="J110" s="227">
        <f t="shared" si="38"/>
        <v>80</v>
      </c>
      <c r="K110" s="41">
        <f t="shared" si="18"/>
        <v>1</v>
      </c>
      <c r="L110" s="215">
        <f t="shared" si="19"/>
        <v>6.4413936434821712</v>
      </c>
      <c r="M110" s="215">
        <f t="shared" si="4"/>
        <v>6.411393643482171</v>
      </c>
      <c r="N110" s="41">
        <f t="shared" si="20"/>
        <v>0.27329900710945054</v>
      </c>
      <c r="O110" s="41">
        <f t="shared" si="21"/>
        <v>7.2172925668682346</v>
      </c>
      <c r="P110" s="228">
        <f t="shared" si="22"/>
        <v>111.65193935044329</v>
      </c>
      <c r="Q110" s="41">
        <f t="shared" si="23"/>
        <v>1110.358782795528</v>
      </c>
      <c r="R110" s="41">
        <f t="shared" si="24"/>
        <v>1198.0091409104591</v>
      </c>
      <c r="S110" s="215">
        <f t="shared" si="5"/>
        <v>0.12841888349713734</v>
      </c>
      <c r="T110" s="215">
        <f t="shared" si="6"/>
        <v>0.31356692100677575</v>
      </c>
      <c r="U110" s="230">
        <f t="shared" si="25"/>
        <v>6.321393643482172</v>
      </c>
      <c r="V110" s="230">
        <f t="shared" si="7"/>
        <v>6.3513936434821723</v>
      </c>
      <c r="W110" s="41">
        <f t="shared" si="26"/>
        <v>-0.26712839452353165</v>
      </c>
      <c r="X110" s="41">
        <f t="shared" si="27"/>
        <v>1077.2512110328914</v>
      </c>
      <c r="Y110" s="41">
        <f t="shared" si="28"/>
        <v>109.57196409753324</v>
      </c>
      <c r="Z110" s="41">
        <f t="shared" si="29"/>
        <v>1192.9762651961119</v>
      </c>
      <c r="AA110" s="230">
        <f t="shared" si="8"/>
        <v>0.12511543122499483</v>
      </c>
      <c r="AB110" s="230">
        <f t="shared" si="30"/>
        <v>-0.30532987328552286</v>
      </c>
      <c r="AC110" s="41">
        <f t="shared" si="40"/>
        <v>0.31356692100677575</v>
      </c>
      <c r="AD110" s="41">
        <f t="shared" si="9"/>
        <v>0.1913467141475152</v>
      </c>
      <c r="AE110" s="41">
        <f t="shared" si="32"/>
        <v>-8.4634429928426239E-3</v>
      </c>
      <c r="AF110" s="41">
        <f t="shared" si="10"/>
        <v>741.56975769487963</v>
      </c>
      <c r="AG110" s="41">
        <f t="shared" si="11"/>
        <v>726.9281838211856</v>
      </c>
      <c r="AH110" s="41">
        <f t="shared" si="33"/>
        <v>6.441798014138997</v>
      </c>
      <c r="AI110" s="41">
        <f t="shared" si="12"/>
        <v>261.74000706578266</v>
      </c>
      <c r="AJ110" s="41">
        <f t="shared" si="34"/>
        <v>3.8641485949758287</v>
      </c>
      <c r="AK110" s="8">
        <f t="shared" si="36"/>
        <v>6.8451520168585951</v>
      </c>
      <c r="AL110" s="42">
        <f t="shared" si="37"/>
        <v>1.075017412703559</v>
      </c>
      <c r="AZ110" s="8"/>
    </row>
    <row r="111" spans="1:52" x14ac:dyDescent="0.25">
      <c r="A111" s="40"/>
      <c r="B111" s="41">
        <f t="shared" si="39"/>
        <v>741.56975769487963</v>
      </c>
      <c r="C111" s="41">
        <f t="shared" si="39"/>
        <v>726.9281838211856</v>
      </c>
      <c r="D111" s="41">
        <f t="shared" si="39"/>
        <v>6.441798014138997</v>
      </c>
      <c r="E111" s="41">
        <f t="shared" si="35"/>
        <v>16</v>
      </c>
      <c r="F111" s="41">
        <f t="shared" si="14"/>
        <v>16</v>
      </c>
      <c r="G111" s="41">
        <f t="shared" si="15"/>
        <v>1241.5558696904868</v>
      </c>
      <c r="H111" s="25">
        <f t="shared" si="41"/>
        <v>0.06</v>
      </c>
      <c r="I111" s="226">
        <f t="shared" si="17"/>
        <v>11.713259098955223</v>
      </c>
      <c r="J111" s="227">
        <f t="shared" si="38"/>
        <v>80</v>
      </c>
      <c r="K111" s="41">
        <f t="shared" si="18"/>
        <v>1</v>
      </c>
      <c r="L111" s="215">
        <f t="shared" si="19"/>
        <v>6.5017980141389966</v>
      </c>
      <c r="M111" s="215">
        <f t="shared" si="4"/>
        <v>6.4717980141389972</v>
      </c>
      <c r="N111" s="41">
        <f t="shared" si="20"/>
        <v>0.27590337372393492</v>
      </c>
      <c r="O111" s="41">
        <f t="shared" si="21"/>
        <v>7.2122080716068009</v>
      </c>
      <c r="P111" s="228">
        <f t="shared" si="22"/>
        <v>113.05409846060157</v>
      </c>
      <c r="Q111" s="41">
        <f t="shared" si="23"/>
        <v>1144.3213334108525</v>
      </c>
      <c r="R111" s="41">
        <f t="shared" si="24"/>
        <v>1201.2823038239105</v>
      </c>
      <c r="S111" s="215">
        <f t="shared" si="5"/>
        <v>0.13207927227807778</v>
      </c>
      <c r="T111" s="215">
        <f t="shared" si="6"/>
        <v>0.31789006174344198</v>
      </c>
      <c r="U111" s="230">
        <f t="shared" si="25"/>
        <v>6.3817980141389974</v>
      </c>
      <c r="V111" s="230">
        <f t="shared" si="7"/>
        <v>6.4117980141389967</v>
      </c>
      <c r="W111" s="41">
        <f t="shared" si="26"/>
        <v>-0.26963955265257056</v>
      </c>
      <c r="X111" s="41">
        <f t="shared" si="27"/>
        <v>1110.5840270477472</v>
      </c>
      <c r="Y111" s="41">
        <f t="shared" si="28"/>
        <v>110.96756789301496</v>
      </c>
      <c r="Z111" s="41">
        <f t="shared" si="29"/>
        <v>1196.3770843978127</v>
      </c>
      <c r="AA111" s="230">
        <f t="shared" si="8"/>
        <v>0.12871082957744964</v>
      </c>
      <c r="AB111" s="230">
        <f t="shared" si="30"/>
        <v>-0.3094719431917225</v>
      </c>
      <c r="AC111" s="41">
        <f t="shared" si="40"/>
        <v>0.31789006174344198</v>
      </c>
      <c r="AD111" s="41">
        <f t="shared" si="9"/>
        <v>0.18874449761321546</v>
      </c>
      <c r="AE111" s="41">
        <f t="shared" si="32"/>
        <v>-8.2419439657351289E-3</v>
      </c>
      <c r="AF111" s="41">
        <f t="shared" si="10"/>
        <v>741.52777100686012</v>
      </c>
      <c r="AG111" s="41">
        <f t="shared" si="11"/>
        <v>726.61029375944213</v>
      </c>
      <c r="AH111" s="41">
        <f t="shared" si="33"/>
        <v>6.5022088326870637</v>
      </c>
      <c r="AI111" s="41">
        <f t="shared" si="12"/>
        <v>264.62560942714077</v>
      </c>
      <c r="AJ111" s="41">
        <f t="shared" si="34"/>
        <v>3.9376557087055901</v>
      </c>
      <c r="AK111" s="8">
        <f t="shared" si="36"/>
        <v>7.1646268905268453</v>
      </c>
      <c r="AL111" s="42">
        <f t="shared" si="37"/>
        <v>1.0961874614577303</v>
      </c>
      <c r="AZ111" s="8"/>
    </row>
    <row r="112" spans="1:52" x14ac:dyDescent="0.25">
      <c r="A112" s="40"/>
      <c r="B112" s="41">
        <f t="shared" si="39"/>
        <v>741.52777100686012</v>
      </c>
      <c r="C112" s="41">
        <f t="shared" si="39"/>
        <v>726.61029375944213</v>
      </c>
      <c r="D112" s="41">
        <f t="shared" si="39"/>
        <v>6.5022088326870637</v>
      </c>
      <c r="E112" s="41">
        <f t="shared" si="35"/>
        <v>16</v>
      </c>
      <c r="F112" s="41">
        <f t="shared" si="14"/>
        <v>16</v>
      </c>
      <c r="G112" s="41">
        <f t="shared" si="15"/>
        <v>1276.4873220632596</v>
      </c>
      <c r="H112" s="25">
        <f t="shared" si="41"/>
        <v>0.06</v>
      </c>
      <c r="I112" s="226">
        <f t="shared" si="17"/>
        <v>11.933981797934393</v>
      </c>
      <c r="J112" s="227">
        <f t="shared" si="38"/>
        <v>80</v>
      </c>
      <c r="K112" s="41">
        <f t="shared" si="18"/>
        <v>1</v>
      </c>
      <c r="L112" s="215">
        <f t="shared" si="19"/>
        <v>6.5622088326870633</v>
      </c>
      <c r="M112" s="215">
        <f t="shared" si="4"/>
        <v>6.5322088326870631</v>
      </c>
      <c r="N112" s="41">
        <f t="shared" si="20"/>
        <v>0.27850845747682484</v>
      </c>
      <c r="O112" s="41">
        <f t="shared" si="21"/>
        <v>7.2069065524662053</v>
      </c>
      <c r="P112" s="228">
        <f t="shared" si="22"/>
        <v>114.46077589926212</v>
      </c>
      <c r="Q112" s="41">
        <f t="shared" si="23"/>
        <v>1178.9275435513111</v>
      </c>
      <c r="R112" s="41">
        <f t="shared" si="24"/>
        <v>1204.4739413301459</v>
      </c>
      <c r="S112" s="215">
        <f t="shared" si="5"/>
        <v>0.1358128350133336</v>
      </c>
      <c r="T112" s="215">
        <f t="shared" si="6"/>
        <v>0.32227793788296077</v>
      </c>
      <c r="U112" s="230">
        <f t="shared" si="25"/>
        <v>6.4422088326870641</v>
      </c>
      <c r="V112" s="230">
        <f t="shared" si="7"/>
        <v>6.4722088326870644</v>
      </c>
      <c r="W112" s="41">
        <f t="shared" si="26"/>
        <v>-0.27215053970212466</v>
      </c>
      <c r="X112" s="41">
        <f t="shared" si="27"/>
        <v>1144.554501615446</v>
      </c>
      <c r="Y112" s="41">
        <f t="shared" si="28"/>
        <v>112.36773013521881</v>
      </c>
      <c r="Z112" s="41">
        <f t="shared" si="29"/>
        <v>1199.6917568252636</v>
      </c>
      <c r="AA112" s="230">
        <f t="shared" si="8"/>
        <v>0.13237863912760597</v>
      </c>
      <c r="AB112" s="230">
        <f t="shared" si="30"/>
        <v>-0.31367431920818206</v>
      </c>
      <c r="AC112" s="41">
        <f t="shared" si="40"/>
        <v>0.32227793788296077</v>
      </c>
      <c r="AD112" s="41">
        <f t="shared" si="9"/>
        <v>0.18617470495851857</v>
      </c>
      <c r="AE112" s="41">
        <f t="shared" si="32"/>
        <v>-8.0284945707895655E-3</v>
      </c>
      <c r="AF112" s="41">
        <f t="shared" si="10"/>
        <v>741.48400152645399</v>
      </c>
      <c r="AG112" s="41">
        <f t="shared" si="11"/>
        <v>726.28801582155916</v>
      </c>
      <c r="AH112" s="41">
        <f t="shared" si="33"/>
        <v>6.5626260759161772</v>
      </c>
      <c r="AI112" s="41">
        <f t="shared" si="12"/>
        <v>267.5673809323406</v>
      </c>
      <c r="AJ112" s="41">
        <f t="shared" si="34"/>
        <v>4.011979981186796</v>
      </c>
      <c r="AK112" s="8">
        <f t="shared" si="36"/>
        <v>7.4968267428611028</v>
      </c>
      <c r="AL112" s="42">
        <f t="shared" si="37"/>
        <v>1.1175928519323175</v>
      </c>
      <c r="AZ112" s="8"/>
    </row>
    <row r="113" spans="1:52" x14ac:dyDescent="0.25">
      <c r="A113" s="40"/>
      <c r="B113" s="41">
        <f t="shared" si="39"/>
        <v>741.48400152645399</v>
      </c>
      <c r="C113" s="41">
        <f t="shared" si="39"/>
        <v>726.28801582155916</v>
      </c>
      <c r="D113" s="41">
        <f t="shared" si="39"/>
        <v>6.5626260759161772</v>
      </c>
      <c r="E113" s="41">
        <f t="shared" si="35"/>
        <v>16</v>
      </c>
      <c r="F113" s="41">
        <f t="shared" si="14"/>
        <v>16</v>
      </c>
      <c r="G113" s="41">
        <f t="shared" si="15"/>
        <v>1312.0717131764004</v>
      </c>
      <c r="H113" s="25">
        <f t="shared" si="41"/>
        <v>0.06</v>
      </c>
      <c r="I113" s="226">
        <f t="shared" si="17"/>
        <v>12.156788563915871</v>
      </c>
      <c r="J113" s="227">
        <f t="shared" si="38"/>
        <v>80</v>
      </c>
      <c r="K113" s="41">
        <f t="shared" si="18"/>
        <v>1</v>
      </c>
      <c r="L113" s="215">
        <f t="shared" si="19"/>
        <v>6.6226260759161768</v>
      </c>
      <c r="M113" s="215">
        <f t="shared" si="4"/>
        <v>6.5926260759161774</v>
      </c>
      <c r="N113" s="41">
        <f t="shared" si="20"/>
        <v>0.28111425750765306</v>
      </c>
      <c r="O113" s="41">
        <f t="shared" si="21"/>
        <v>7.2013799260735913</v>
      </c>
      <c r="P113" s="228">
        <f t="shared" si="22"/>
        <v>115.8719456261511</v>
      </c>
      <c r="Q113" s="41">
        <f t="shared" si="23"/>
        <v>1214.1835801538248</v>
      </c>
      <c r="R113" s="41">
        <f t="shared" si="24"/>
        <v>1207.5869575892787</v>
      </c>
      <c r="S113" s="215">
        <f t="shared" si="5"/>
        <v>0.13962083078420448</v>
      </c>
      <c r="T113" s="215">
        <f t="shared" si="6"/>
        <v>0.32673298885638824</v>
      </c>
      <c r="U113" s="230">
        <f t="shared" si="25"/>
        <v>6.5026260759161776</v>
      </c>
      <c r="V113" s="230">
        <f t="shared" si="7"/>
        <v>6.5326260759161769</v>
      </c>
      <c r="W113" s="41">
        <f t="shared" si="26"/>
        <v>-0.27466135456712593</v>
      </c>
      <c r="X113" s="41">
        <f t="shared" si="27"/>
        <v>1179.1688000204756</v>
      </c>
      <c r="Y113" s="41">
        <f t="shared" si="28"/>
        <v>113.77242416941915</v>
      </c>
      <c r="Z113" s="41">
        <f t="shared" si="29"/>
        <v>1202.9234036434907</v>
      </c>
      <c r="AA113" s="230">
        <f t="shared" si="8"/>
        <v>0.13612010684745635</v>
      </c>
      <c r="AB113" s="230">
        <f t="shared" si="30"/>
        <v>-0.31793928385670428</v>
      </c>
      <c r="AC113" s="41">
        <f t="shared" si="40"/>
        <v>0.32673298885638824</v>
      </c>
      <c r="AD113" s="41">
        <f t="shared" si="9"/>
        <v>0.18363618626331091</v>
      </c>
      <c r="AE113" s="41">
        <f t="shared" si="32"/>
        <v>-7.822730221080423E-3</v>
      </c>
      <c r="AF113" s="41">
        <f t="shared" si="10"/>
        <v>741.43838279510521</v>
      </c>
      <c r="AG113" s="41">
        <f t="shared" si="11"/>
        <v>725.96128283270275</v>
      </c>
      <c r="AH113" s="41">
        <f t="shared" si="33"/>
        <v>6.6230497212602053</v>
      </c>
      <c r="AI113" s="41">
        <f t="shared" si="12"/>
        <v>270.56684142121696</v>
      </c>
      <c r="AJ113" s="41">
        <f t="shared" si="34"/>
        <v>4.0871374371371338</v>
      </c>
      <c r="AK113" s="8">
        <f t="shared" si="36"/>
        <v>7.842201885705987</v>
      </c>
      <c r="AL113" s="42">
        <f t="shared" si="37"/>
        <v>1.1392381992460148</v>
      </c>
      <c r="AZ113" s="8"/>
    </row>
    <row r="114" spans="1:52" x14ac:dyDescent="0.25">
      <c r="A114" s="40"/>
      <c r="B114" s="41">
        <f t="shared" si="39"/>
        <v>741.43838279510521</v>
      </c>
      <c r="C114" s="41">
        <f t="shared" si="39"/>
        <v>725.96128283270275</v>
      </c>
      <c r="D114" s="41">
        <f t="shared" si="39"/>
        <v>6.6230497212602053</v>
      </c>
      <c r="E114" s="41">
        <f t="shared" si="35"/>
        <v>16</v>
      </c>
      <c r="F114" s="41">
        <f t="shared" si="14"/>
        <v>16</v>
      </c>
      <c r="G114" s="41">
        <f t="shared" si="15"/>
        <v>1348.3152150717831</v>
      </c>
      <c r="H114" s="25">
        <f t="shared" si="41"/>
        <v>0.06</v>
      </c>
      <c r="I114" s="226">
        <f t="shared" si="17"/>
        <v>12.38167996992197</v>
      </c>
      <c r="J114" s="227">
        <f t="shared" si="38"/>
        <v>80</v>
      </c>
      <c r="K114" s="41">
        <f t="shared" si="18"/>
        <v>1</v>
      </c>
      <c r="L114" s="215">
        <f t="shared" si="19"/>
        <v>6.6830497212602049</v>
      </c>
      <c r="M114" s="215">
        <f t="shared" si="4"/>
        <v>6.6530497212602047</v>
      </c>
      <c r="N114" s="41">
        <f t="shared" si="20"/>
        <v>0.28372077298293874</v>
      </c>
      <c r="O114" s="41">
        <f t="shared" si="21"/>
        <v>7.1956198009286183</v>
      </c>
      <c r="P114" s="228">
        <f t="shared" si="22"/>
        <v>117.28758200294246</v>
      </c>
      <c r="Q114" s="41">
        <f t="shared" si="23"/>
        <v>1250.095613383462</v>
      </c>
      <c r="R114" s="41">
        <f t="shared" si="24"/>
        <v>1210.6241224753285</v>
      </c>
      <c r="S114" s="215">
        <f t="shared" si="5"/>
        <v>0.14350455944608076</v>
      </c>
      <c r="T114" s="215">
        <f t="shared" si="6"/>
        <v>0.33125777388779637</v>
      </c>
      <c r="U114" s="230">
        <f t="shared" si="25"/>
        <v>6.5630497212602057</v>
      </c>
      <c r="V114" s="230">
        <f t="shared" si="7"/>
        <v>6.5930497212602059</v>
      </c>
      <c r="W114" s="41">
        <f t="shared" si="26"/>
        <v>-0.2771719961698409</v>
      </c>
      <c r="X114" s="41">
        <f t="shared" si="27"/>
        <v>1214.4330907774661</v>
      </c>
      <c r="Y114" s="41">
        <f t="shared" si="28"/>
        <v>115.18162375772789</v>
      </c>
      <c r="Z114" s="41">
        <f t="shared" si="29"/>
        <v>1206.0749992383483</v>
      </c>
      <c r="AA114" s="230">
        <f t="shared" si="8"/>
        <v>0.13993651986261033</v>
      </c>
      <c r="AB114" s="230">
        <f t="shared" si="30"/>
        <v>-0.32226923078464448</v>
      </c>
      <c r="AC114" s="41">
        <f t="shared" si="40"/>
        <v>0.33125777388779637</v>
      </c>
      <c r="AD114" s="41">
        <f t="shared" si="9"/>
        <v>0.18112782470223082</v>
      </c>
      <c r="AE114" s="41">
        <f t="shared" si="32"/>
        <v>-7.6243063067293953E-3</v>
      </c>
      <c r="AF114" s="41">
        <f t="shared" si="10"/>
        <v>741.39084579420035</v>
      </c>
      <c r="AG114" s="41">
        <f t="shared" si="11"/>
        <v>725.63002505881491</v>
      </c>
      <c r="AH114" s="41">
        <f t="shared" si="33"/>
        <v>6.6834797467739469</v>
      </c>
      <c r="AI114" s="41">
        <f t="shared" si="12"/>
        <v>273.62561817327997</v>
      </c>
      <c r="AJ114" s="41">
        <f t="shared" si="34"/>
        <v>4.1631445532963784</v>
      </c>
      <c r="AK114" s="8">
        <f t="shared" si="36"/>
        <v>8.201218319311554</v>
      </c>
      <c r="AL114" s="42">
        <f t="shared" si="37"/>
        <v>1.1611282486998771</v>
      </c>
      <c r="AZ114" s="8"/>
    </row>
    <row r="115" spans="1:52" x14ac:dyDescent="0.25">
      <c r="A115" s="40"/>
      <c r="B115" s="41">
        <f t="shared" si="39"/>
        <v>741.39084579420035</v>
      </c>
      <c r="C115" s="41">
        <f t="shared" si="39"/>
        <v>725.63002505881491</v>
      </c>
      <c r="D115" s="41">
        <f t="shared" si="39"/>
        <v>6.6834797467739469</v>
      </c>
      <c r="E115" s="41">
        <f t="shared" si="35"/>
        <v>16</v>
      </c>
      <c r="F115" s="41">
        <f t="shared" si="14"/>
        <v>16</v>
      </c>
      <c r="G115" s="41">
        <f t="shared" si="15"/>
        <v>1385.2240030179664</v>
      </c>
      <c r="H115" s="25">
        <f t="shared" si="41"/>
        <v>0.06</v>
      </c>
      <c r="I115" s="226">
        <f t="shared" si="17"/>
        <v>12.608656588308349</v>
      </c>
      <c r="J115" s="227">
        <f t="shared" si="38"/>
        <v>80</v>
      </c>
      <c r="K115" s="41">
        <f t="shared" si="18"/>
        <v>1</v>
      </c>
      <c r="L115" s="215">
        <f t="shared" si="19"/>
        <v>6.7434797467739465</v>
      </c>
      <c r="M115" s="215">
        <f t="shared" si="4"/>
        <v>6.7134797467739471</v>
      </c>
      <c r="N115" s="41">
        <f t="shared" si="20"/>
        <v>0.28632800309550888</v>
      </c>
      <c r="O115" s="41">
        <f t="shared" si="21"/>
        <v>7.1896174622810305</v>
      </c>
      <c r="P115" s="228">
        <f t="shared" si="22"/>
        <v>118.70765978353498</v>
      </c>
      <c r="Q115" s="41">
        <f t="shared" si="23"/>
        <v>1286.6698166323579</v>
      </c>
      <c r="R115" s="41">
        <f t="shared" si="24"/>
        <v>1213.5880791920085</v>
      </c>
      <c r="S115" s="215">
        <f t="shared" si="5"/>
        <v>0.1474653642324264</v>
      </c>
      <c r="T115" s="215">
        <f t="shared" si="6"/>
        <v>0.33585498005921538</v>
      </c>
      <c r="U115" s="230">
        <f t="shared" si="25"/>
        <v>6.6234797467739472</v>
      </c>
      <c r="V115" s="230">
        <f t="shared" si="7"/>
        <v>6.6534797467739466</v>
      </c>
      <c r="W115" s="41">
        <f t="shared" si="26"/>
        <v>-0.27968246345907133</v>
      </c>
      <c r="X115" s="41">
        <f t="shared" si="27"/>
        <v>1250.3535456300222</v>
      </c>
      <c r="Y115" s="41">
        <f t="shared" si="28"/>
        <v>116.5953030688794</v>
      </c>
      <c r="Z115" s="41">
        <f t="shared" si="29"/>
        <v>1209.1493796820025</v>
      </c>
      <c r="AA115" s="230">
        <f t="shared" si="8"/>
        <v>0.14382920801869797</v>
      </c>
      <c r="AB115" s="230">
        <f t="shared" si="30"/>
        <v>-0.32666667220899465</v>
      </c>
      <c r="AC115" s="41">
        <f t="shared" si="40"/>
        <v>0.33585498005921538</v>
      </c>
      <c r="AD115" s="41">
        <f t="shared" si="9"/>
        <v>0.17864853452350551</v>
      </c>
      <c r="AE115" s="41">
        <f t="shared" si="32"/>
        <v>-7.4328969549943141E-3</v>
      </c>
      <c r="AF115" s="41">
        <f t="shared" si="10"/>
        <v>741.34131881723658</v>
      </c>
      <c r="AG115" s="41">
        <f t="shared" si="11"/>
        <v>725.29417007875566</v>
      </c>
      <c r="AH115" s="41">
        <f t="shared" si="33"/>
        <v>6.7439161311109634</v>
      </c>
      <c r="AI115" s="41">
        <f t="shared" si="12"/>
        <v>276.74545079811867</v>
      </c>
      <c r="AJ115" s="41">
        <f t="shared" si="34"/>
        <v>4.2400182896291891</v>
      </c>
      <c r="AK115" s="8">
        <f t="shared" si="36"/>
        <v>8.5743584213245576</v>
      </c>
      <c r="AL115" s="42">
        <f t="shared" si="37"/>
        <v>1.1832678847637266</v>
      </c>
      <c r="AZ115" s="8"/>
    </row>
    <row r="116" spans="1:52" x14ac:dyDescent="0.25">
      <c r="A116" s="40"/>
      <c r="B116" s="41">
        <f t="shared" si="39"/>
        <v>741.34131881723658</v>
      </c>
      <c r="C116" s="41">
        <f t="shared" si="39"/>
        <v>725.29417007875566</v>
      </c>
      <c r="D116" s="41">
        <f t="shared" si="39"/>
        <v>6.7439161311109634</v>
      </c>
      <c r="E116" s="41">
        <f t="shared" si="35"/>
        <v>16</v>
      </c>
      <c r="F116" s="41">
        <f t="shared" si="14"/>
        <v>16</v>
      </c>
      <c r="G116" s="41">
        <f t="shared" si="15"/>
        <v>1422.8042555091145</v>
      </c>
      <c r="H116" s="25">
        <f t="shared" si="41"/>
        <v>0.06</v>
      </c>
      <c r="I116" s="226">
        <f t="shared" si="17"/>
        <v>12.837718990784744</v>
      </c>
      <c r="J116" s="227">
        <f t="shared" si="38"/>
        <v>80</v>
      </c>
      <c r="K116" s="41">
        <f t="shared" si="18"/>
        <v>1</v>
      </c>
      <c r="L116" s="215">
        <f t="shared" si="19"/>
        <v>6.8039161311109631</v>
      </c>
      <c r="M116" s="215">
        <f t="shared" si="4"/>
        <v>6.7739161311109637</v>
      </c>
      <c r="N116" s="41">
        <f t="shared" si="20"/>
        <v>0.28893594706328685</v>
      </c>
      <c r="O116" s="41">
        <f t="shared" si="21"/>
        <v>7.1833638559897395</v>
      </c>
      <c r="P116" s="228">
        <f t="shared" si="22"/>
        <v>120.13215410464693</v>
      </c>
      <c r="Q116" s="41">
        <f t="shared" si="23"/>
        <v>1323.9123665186282</v>
      </c>
      <c r="R116" s="41">
        <f t="shared" si="24"/>
        <v>1216.4813513780973</v>
      </c>
      <c r="S116" s="232">
        <f t="shared" si="5"/>
        <v>0.15150463454240587</v>
      </c>
      <c r="T116" s="215">
        <f t="shared" si="6"/>
        <v>0.34052743105728511</v>
      </c>
      <c r="U116" s="230">
        <f t="shared" si="25"/>
        <v>6.6839161311109638</v>
      </c>
      <c r="V116" s="230">
        <f t="shared" si="7"/>
        <v>6.7139161311109632</v>
      </c>
      <c r="W116" s="41">
        <f t="shared" si="26"/>
        <v>-0.28219275540904221</v>
      </c>
      <c r="X116" s="41">
        <f t="shared" si="27"/>
        <v>1286.936339549598</v>
      </c>
      <c r="Y116" s="41">
        <f t="shared" si="28"/>
        <v>118.01343666835503</v>
      </c>
      <c r="Z116" s="41">
        <f t="shared" si="29"/>
        <v>1212.1492506214993</v>
      </c>
      <c r="AA116" s="230">
        <f t="shared" si="8"/>
        <v>0.1477995466286629</v>
      </c>
      <c r="AB116" s="230">
        <f t="shared" si="30"/>
        <v>-0.33113424698693489</v>
      </c>
      <c r="AC116" s="41">
        <f t="shared" si="40"/>
        <v>0.34052743105728511</v>
      </c>
      <c r="AD116" s="41">
        <f t="shared" si="9"/>
        <v>0.17619725909806813</v>
      </c>
      <c r="AE116" s="41">
        <f t="shared" si="32"/>
        <v>-7.248193877162112E-3</v>
      </c>
      <c r="AF116" s="41">
        <f t="shared" si="10"/>
        <v>741.28972733324258</v>
      </c>
      <c r="AG116" s="41">
        <f t="shared" si="11"/>
        <v>724.95364264769842</v>
      </c>
      <c r="AH116" s="41">
        <f t="shared" si="33"/>
        <v>6.8043588535025039</v>
      </c>
      <c r="AI116" s="41">
        <f t="shared" si="12"/>
        <v>279.92819673850062</v>
      </c>
      <c r="AJ116" s="41">
        <f t="shared" si="34"/>
        <v>4.31777612205655</v>
      </c>
      <c r="AK116" s="8">
        <f t="shared" si="36"/>
        <v>8.9621216785682645</v>
      </c>
      <c r="AL116" s="42">
        <f t="shared" si="37"/>
        <v>1.2056621405028065</v>
      </c>
      <c r="AZ116" s="8"/>
    </row>
    <row r="117" spans="1:52" x14ac:dyDescent="0.25">
      <c r="A117" s="40"/>
      <c r="B117" s="41">
        <f t="shared" si="39"/>
        <v>741.28972733324258</v>
      </c>
      <c r="C117" s="41">
        <f t="shared" si="39"/>
        <v>724.95364264769842</v>
      </c>
      <c r="D117" s="41">
        <f t="shared" si="39"/>
        <v>6.8043588535025039</v>
      </c>
      <c r="E117" s="41">
        <f t="shared" si="35"/>
        <v>16</v>
      </c>
      <c r="F117" s="41">
        <f t="shared" si="14"/>
        <v>16</v>
      </c>
      <c r="G117" s="41">
        <f t="shared" si="15"/>
        <v>1461.0621542640999</v>
      </c>
      <c r="H117" s="25">
        <f t="shared" si="41"/>
        <v>0.06</v>
      </c>
      <c r="I117" s="226">
        <f t="shared" si="17"/>
        <v>13.068867748435332</v>
      </c>
      <c r="J117" s="227">
        <f t="shared" si="38"/>
        <v>80</v>
      </c>
      <c r="K117" s="41">
        <f t="shared" si="18"/>
        <v>1</v>
      </c>
      <c r="L117" s="215">
        <f t="shared" si="19"/>
        <v>6.8643588535025035</v>
      </c>
      <c r="M117" s="215">
        <f t="shared" si="4"/>
        <v>6.8343588535025042</v>
      </c>
      <c r="N117" s="41">
        <f t="shared" si="20"/>
        <v>0.29154460412859606</v>
      </c>
      <c r="O117" s="41">
        <f t="shared" si="21"/>
        <v>7.1768495712774305</v>
      </c>
      <c r="P117" s="228">
        <f t="shared" si="22"/>
        <v>121.56104047672092</v>
      </c>
      <c r="Q117" s="41">
        <f t="shared" si="23"/>
        <v>1361.8294428854274</v>
      </c>
      <c r="R117" s="41">
        <f t="shared" si="24"/>
        <v>1219.3063497417852</v>
      </c>
      <c r="S117" s="215">
        <f t="shared" si="5"/>
        <v>0.15562380892879768</v>
      </c>
      <c r="T117" s="215">
        <f t="shared" si="6"/>
        <v>0.34527809667244808</v>
      </c>
      <c r="U117" s="230">
        <f t="shared" si="25"/>
        <v>6.7443588535025043</v>
      </c>
      <c r="V117" s="230">
        <f t="shared" si="7"/>
        <v>6.7743588535025037</v>
      </c>
      <c r="W117" s="41">
        <f t="shared" si="26"/>
        <v>-0.28470287101858105</v>
      </c>
      <c r="X117" s="41">
        <f t="shared" si="27"/>
        <v>1324.1876507344848</v>
      </c>
      <c r="Y117" s="41">
        <f t="shared" si="28"/>
        <v>119.4359995088361</v>
      </c>
      <c r="Z117" s="41">
        <f t="shared" si="29"/>
        <v>1215.0771946356715</v>
      </c>
      <c r="AA117" s="230">
        <f t="shared" si="8"/>
        <v>0.15184895941734569</v>
      </c>
      <c r="AB117" s="230">
        <f t="shared" si="30"/>
        <v>-0.33567472937720944</v>
      </c>
      <c r="AC117" s="41">
        <f t="shared" si="40"/>
        <v>0.34527809667244808</v>
      </c>
      <c r="AD117" s="41">
        <f t="shared" si="9"/>
        <v>0.17377296903058309</v>
      </c>
      <c r="AE117" s="41">
        <f t="shared" si="32"/>
        <v>-7.0699052995688919E-3</v>
      </c>
      <c r="AF117" s="41">
        <f t="shared" si="10"/>
        <v>741.23599384069871</v>
      </c>
      <c r="AG117" s="41">
        <f t="shared" si="11"/>
        <v>724.60836455102594</v>
      </c>
      <c r="AH117" s="41">
        <f t="shared" si="33"/>
        <v>6.8648078937372823</v>
      </c>
      <c r="AI117" s="41">
        <f t="shared" si="12"/>
        <v>283.17583743049335</v>
      </c>
      <c r="AJ117" s="41">
        <f t="shared" si="34"/>
        <v>4.3964360768983539</v>
      </c>
      <c r="AK117" s="8">
        <f t="shared" si="36"/>
        <v>9.3650254651217271</v>
      </c>
      <c r="AL117" s="42">
        <f t="shared" si="37"/>
        <v>1.228316207497246</v>
      </c>
      <c r="AZ117" s="8"/>
    </row>
    <row r="118" spans="1:52" x14ac:dyDescent="0.25">
      <c r="A118" s="40"/>
      <c r="B118" s="41">
        <f t="shared" si="39"/>
        <v>741.23599384069871</v>
      </c>
      <c r="C118" s="41">
        <f t="shared" si="39"/>
        <v>724.60836455102594</v>
      </c>
      <c r="D118" s="41">
        <f t="shared" si="39"/>
        <v>6.8648078937372823</v>
      </c>
      <c r="E118" s="41">
        <f t="shared" si="35"/>
        <v>16</v>
      </c>
      <c r="F118" s="41">
        <f t="shared" si="14"/>
        <v>16</v>
      </c>
      <c r="G118" s="41">
        <f t="shared" si="15"/>
        <v>1500.0038842255824</v>
      </c>
      <c r="H118" s="25">
        <f t="shared" si="41"/>
        <v>0.06</v>
      </c>
      <c r="I118" s="226">
        <f t="shared" si="17"/>
        <v>13.302103431738216</v>
      </c>
      <c r="J118" s="227">
        <f t="shared" si="38"/>
        <v>80</v>
      </c>
      <c r="K118" s="41">
        <f t="shared" si="18"/>
        <v>1</v>
      </c>
      <c r="L118" s="215">
        <f t="shared" si="19"/>
        <v>6.9248078937372819</v>
      </c>
      <c r="M118" s="215">
        <f t="shared" si="4"/>
        <v>6.8948078937372816</v>
      </c>
      <c r="N118" s="41">
        <f t="shared" si="20"/>
        <v>0.29415397355717943</v>
      </c>
      <c r="O118" s="41">
        <f t="shared" si="21"/>
        <v>7.1700648222855579</v>
      </c>
      <c r="P118" s="228">
        <f t="shared" si="22"/>
        <v>122.99429477512003</v>
      </c>
      <c r="Q118" s="41">
        <f t="shared" si="23"/>
        <v>1400.4272288000145</v>
      </c>
      <c r="R118" s="41">
        <f t="shared" si="24"/>
        <v>1222.0653782599306</v>
      </c>
      <c r="S118" s="215">
        <f t="shared" si="5"/>
        <v>0.15982437830452742</v>
      </c>
      <c r="T118" s="215">
        <f t="shared" si="6"/>
        <v>0.35011010312769769</v>
      </c>
      <c r="U118" s="230">
        <f t="shared" si="25"/>
        <v>6.8048078937372827</v>
      </c>
      <c r="V118" s="230">
        <f t="shared" si="7"/>
        <v>6.8348078937372829</v>
      </c>
      <c r="W118" s="41">
        <f t="shared" si="26"/>
        <v>-0.28721280931026882</v>
      </c>
      <c r="X118" s="41">
        <f t="shared" si="27"/>
        <v>1362.113660608826</v>
      </c>
      <c r="Y118" s="41">
        <f t="shared" si="28"/>
        <v>120.86296692096731</v>
      </c>
      <c r="Z118" s="41">
        <f t="shared" si="29"/>
        <v>1217.9356781016215</v>
      </c>
      <c r="AA118" s="230">
        <f t="shared" si="8"/>
        <v>0.15597892168143343</v>
      </c>
      <c r="AB118" s="230">
        <f t="shared" si="30"/>
        <v>-0.34029103856321402</v>
      </c>
      <c r="AC118" s="41">
        <f t="shared" si="40"/>
        <v>0.35011010312769769</v>
      </c>
      <c r="AD118" s="41">
        <f t="shared" si="9"/>
        <v>0.17137466032540011</v>
      </c>
      <c r="AE118" s="41">
        <f t="shared" si="32"/>
        <v>-6.8977549687275564E-3</v>
      </c>
      <c r="AF118" s="41">
        <f t="shared" si="10"/>
        <v>741.18003771112819</v>
      </c>
      <c r="AG118" s="41">
        <f t="shared" si="11"/>
        <v>724.25825444789825</v>
      </c>
      <c r="AH118" s="41">
        <f t="shared" si="33"/>
        <v>6.9252632321420808</v>
      </c>
      <c r="AI118" s="41">
        <f t="shared" si="12"/>
        <v>286.49048517045054</v>
      </c>
      <c r="AJ118" s="41">
        <f t="shared" si="34"/>
        <v>4.476016767223479</v>
      </c>
      <c r="AK118" s="8">
        <f t="shared" si="36"/>
        <v>9.7836058705610327</v>
      </c>
      <c r="AL118" s="42">
        <f t="shared" si="37"/>
        <v>1.2512354463108821</v>
      </c>
      <c r="AZ118" s="8"/>
    </row>
    <row r="119" spans="1:52" x14ac:dyDescent="0.25">
      <c r="A119" s="40"/>
      <c r="B119" s="41">
        <f t="shared" si="39"/>
        <v>741.18003771112819</v>
      </c>
      <c r="C119" s="41">
        <f t="shared" si="39"/>
        <v>724.25825444789825</v>
      </c>
      <c r="D119" s="41">
        <f t="shared" si="39"/>
        <v>6.9252632321420808</v>
      </c>
      <c r="E119" s="41">
        <f t="shared" si="35"/>
        <v>16</v>
      </c>
      <c r="F119" s="41">
        <f t="shared" si="14"/>
        <v>16</v>
      </c>
      <c r="G119" s="41">
        <f t="shared" si="15"/>
        <v>1539.6356335591461</v>
      </c>
      <c r="H119" s="25">
        <f t="shared" si="41"/>
        <v>0.06</v>
      </c>
      <c r="I119" s="226">
        <f t="shared" si="17"/>
        <v>13.537426610583953</v>
      </c>
      <c r="J119" s="227">
        <f t="shared" si="38"/>
        <v>80</v>
      </c>
      <c r="K119" s="41">
        <f t="shared" si="18"/>
        <v>1</v>
      </c>
      <c r="L119" s="215">
        <f t="shared" si="19"/>
        <v>6.9852632321420804</v>
      </c>
      <c r="M119" s="215">
        <f t="shared" si="4"/>
        <v>6.9552632321420802</v>
      </c>
      <c r="N119" s="41">
        <f t="shared" si="20"/>
        <v>0.29676405463749944</v>
      </c>
      <c r="O119" s="41">
        <f t="shared" si="21"/>
        <v>7.1629994283251204</v>
      </c>
      <c r="P119" s="228">
        <f t="shared" si="22"/>
        <v>124.4318932316058</v>
      </c>
      <c r="Q119" s="41">
        <f t="shared" si="23"/>
        <v>1439.7119105528479</v>
      </c>
      <c r="R119" s="41">
        <f t="shared" si="24"/>
        <v>1224.7606399750796</v>
      </c>
      <c r="S119" s="215">
        <f t="shared" si="5"/>
        <v>0.16410788938809129</v>
      </c>
      <c r="T119" s="215">
        <f t="shared" si="6"/>
        <v>0.35502674432500086</v>
      </c>
      <c r="U119" s="230">
        <f t="shared" si="25"/>
        <v>6.8652632321420812</v>
      </c>
      <c r="V119" s="230">
        <f t="shared" si="7"/>
        <v>6.8952632321420815</v>
      </c>
      <c r="W119" s="41">
        <f t="shared" si="26"/>
        <v>-0.28972256932960505</v>
      </c>
      <c r="X119" s="41">
        <f t="shared" si="27"/>
        <v>1400.7205538216522</v>
      </c>
      <c r="Y119" s="41">
        <f t="shared" si="28"/>
        <v>122.29431460441918</v>
      </c>
      <c r="Z119" s="41">
        <f t="shared" si="29"/>
        <v>1220.7270576084152</v>
      </c>
      <c r="AA119" s="230">
        <f t="shared" si="8"/>
        <v>0.16019096368475111</v>
      </c>
      <c r="AB119" s="230">
        <f t="shared" si="30"/>
        <v>-0.34498624901774522</v>
      </c>
      <c r="AC119" s="41">
        <f t="shared" si="40"/>
        <v>0.35502674432500086</v>
      </c>
      <c r="AD119" s="41">
        <f t="shared" si="9"/>
        <v>0.16900135259971968</v>
      </c>
      <c r="AE119" s="41">
        <f t="shared" si="32"/>
        <v>-6.7314812273787123E-3</v>
      </c>
      <c r="AF119" s="41">
        <f t="shared" si="10"/>
        <v>741.12177502144073</v>
      </c>
      <c r="AG119" s="41">
        <f t="shared" si="11"/>
        <v>723.90322770357329</v>
      </c>
      <c r="AH119" s="41">
        <f t="shared" si="33"/>
        <v>6.9857248495633124</v>
      </c>
      <c r="AI119" s="41">
        <f t="shared" si="12"/>
        <v>289.87439074807685</v>
      </c>
      <c r="AJ119" s="41">
        <f t="shared" si="34"/>
        <v>4.5565374313201668</v>
      </c>
      <c r="AK119" s="8">
        <f t="shared" si="36"/>
        <v>10.218418582620671</v>
      </c>
      <c r="AL119" s="42">
        <f t="shared" si="37"/>
        <v>1.2744253975707283</v>
      </c>
      <c r="AZ119" s="8"/>
    </row>
    <row r="120" spans="1:52" x14ac:dyDescent="0.25">
      <c r="A120" s="40"/>
      <c r="B120" s="41">
        <f t="shared" si="39"/>
        <v>741.12177502144073</v>
      </c>
      <c r="C120" s="41">
        <f t="shared" si="39"/>
        <v>723.90322770357329</v>
      </c>
      <c r="D120" s="41">
        <f t="shared" si="39"/>
        <v>6.9857248495633124</v>
      </c>
      <c r="E120" s="41">
        <f t="shared" si="35"/>
        <v>16</v>
      </c>
      <c r="F120" s="41">
        <f t="shared" si="14"/>
        <v>16</v>
      </c>
      <c r="G120" s="41">
        <f t="shared" si="15"/>
        <v>1579.9635936525308</v>
      </c>
      <c r="H120" s="25">
        <f t="shared" si="41"/>
        <v>0.06</v>
      </c>
      <c r="I120" s="226">
        <f t="shared" si="17"/>
        <v>13.774837854293947</v>
      </c>
      <c r="J120" s="227">
        <f t="shared" si="38"/>
        <v>80</v>
      </c>
      <c r="K120" s="41">
        <f t="shared" si="18"/>
        <v>1</v>
      </c>
      <c r="L120" s="215">
        <f t="shared" si="19"/>
        <v>7.045724849563312</v>
      </c>
      <c r="M120" s="215">
        <f t="shared" si="4"/>
        <v>7.0157248495633127</v>
      </c>
      <c r="N120" s="41">
        <f t="shared" si="20"/>
        <v>0.29937484667988912</v>
      </c>
      <c r="O120" s="41">
        <f t="shared" si="21"/>
        <v>7.1556427927072495</v>
      </c>
      <c r="P120" s="228">
        <f t="shared" si="22"/>
        <v>125.87381242608912</v>
      </c>
      <c r="Q120" s="41">
        <f t="shared" si="23"/>
        <v>1479.6896776567992</v>
      </c>
      <c r="R120" s="41">
        <f t="shared" si="24"/>
        <v>1227.3942424202987</v>
      </c>
      <c r="S120" s="215">
        <f t="shared" si="5"/>
        <v>0.16847594841033331</v>
      </c>
      <c r="T120" s="215">
        <f t="shared" si="6"/>
        <v>0.36003149410718671</v>
      </c>
      <c r="U120" s="230">
        <f t="shared" si="25"/>
        <v>6.9257248495633128</v>
      </c>
      <c r="V120" s="230">
        <f t="shared" si="7"/>
        <v>6.9557248495633122</v>
      </c>
      <c r="W120" s="41">
        <f t="shared" si="26"/>
        <v>-0.29223215014416581</v>
      </c>
      <c r="X120" s="41">
        <f t="shared" si="27"/>
        <v>1440.0145182460501</v>
      </c>
      <c r="Y120" s="41">
        <f t="shared" si="28"/>
        <v>123.73001861924033</v>
      </c>
      <c r="Z120" s="41">
        <f t="shared" si="29"/>
        <v>1223.4535859523683</v>
      </c>
      <c r="AA120" s="230">
        <f t="shared" si="8"/>
        <v>0.16448667431103306</v>
      </c>
      <c r="AB120" s="230">
        <f t="shared" si="30"/>
        <v>-0.34976360179915772</v>
      </c>
      <c r="AC120" s="41">
        <f t="shared" si="40"/>
        <v>0.36003149410718671</v>
      </c>
      <c r="AD120" s="41">
        <f t="shared" si="9"/>
        <v>0.16665208733694034</v>
      </c>
      <c r="AE120" s="41">
        <f t="shared" si="32"/>
        <v>-6.5708361543537E-3</v>
      </c>
      <c r="AF120" s="41">
        <f t="shared" si="10"/>
        <v>741.0611183740134</v>
      </c>
      <c r="AG120" s="41">
        <f t="shared" si="11"/>
        <v>723.54319620946615</v>
      </c>
      <c r="AH120" s="41">
        <f t="shared" si="33"/>
        <v>7.0461927273492568</v>
      </c>
      <c r="AI120" s="41">
        <f t="shared" si="12"/>
        <v>293.32995191279417</v>
      </c>
      <c r="AJ120" s="41">
        <f t="shared" si="34"/>
        <v>4.6380179735181652</v>
      </c>
      <c r="AK120" s="8">
        <f t="shared" si="36"/>
        <v>10.670039828975801</v>
      </c>
      <c r="AL120" s="42">
        <f t="shared" si="37"/>
        <v>1.2978917937237517</v>
      </c>
      <c r="AZ120" s="8"/>
    </row>
    <row r="121" spans="1:52" x14ac:dyDescent="0.25">
      <c r="A121" s="40"/>
      <c r="B121" s="41">
        <f t="shared" si="39"/>
        <v>741.0611183740134</v>
      </c>
      <c r="C121" s="41">
        <f t="shared" si="39"/>
        <v>723.54319620946615</v>
      </c>
      <c r="D121" s="41">
        <f t="shared" si="39"/>
        <v>7.0461927273492568</v>
      </c>
      <c r="E121" s="41">
        <f t="shared" si="35"/>
        <v>16</v>
      </c>
      <c r="F121" s="41">
        <f t="shared" si="14"/>
        <v>16</v>
      </c>
      <c r="G121" s="41">
        <f t="shared" si="15"/>
        <v>1620.9939591148514</v>
      </c>
      <c r="H121" s="25">
        <f t="shared" si="41"/>
        <v>0.06</v>
      </c>
      <c r="I121" s="226">
        <f t="shared" si="17"/>
        <v>14.014337731637807</v>
      </c>
      <c r="J121" s="227">
        <f t="shared" si="38"/>
        <v>80</v>
      </c>
      <c r="K121" s="41">
        <f t="shared" si="18"/>
        <v>1</v>
      </c>
      <c r="L121" s="215">
        <f t="shared" si="19"/>
        <v>7.1061927273492564</v>
      </c>
      <c r="M121" s="215">
        <f t="shared" si="4"/>
        <v>7.0761927273492571</v>
      </c>
      <c r="N121" s="41">
        <f t="shared" si="20"/>
        <v>0.30198634901575616</v>
      </c>
      <c r="O121" s="41">
        <f t="shared" si="21"/>
        <v>7.1479838800254258</v>
      </c>
      <c r="P121" s="228">
        <f t="shared" si="22"/>
        <v>127.32002927863847</v>
      </c>
      <c r="Q121" s="41">
        <f t="shared" si="23"/>
        <v>1520.3667228463578</v>
      </c>
      <c r="R121" s="41">
        <f t="shared" si="24"/>
        <v>1229.9682026993382</v>
      </c>
      <c r="S121" s="215">
        <f t="shared" si="5"/>
        <v>0.17293022510747177</v>
      </c>
      <c r="T121" s="215">
        <f t="shared" si="6"/>
        <v>0.36512801964622288</v>
      </c>
      <c r="U121" s="230">
        <f t="shared" si="25"/>
        <v>6.9861927273492572</v>
      </c>
      <c r="V121" s="230">
        <f t="shared" si="7"/>
        <v>7.0161927273492566</v>
      </c>
      <c r="W121" s="41">
        <f t="shared" si="26"/>
        <v>-0.29474155084291453</v>
      </c>
      <c r="X121" s="41">
        <f t="shared" si="27"/>
        <v>1480.0017449783163</v>
      </c>
      <c r="Y121" s="41">
        <f t="shared" si="28"/>
        <v>125.17005537748302</v>
      </c>
      <c r="Z121" s="41">
        <f t="shared" si="29"/>
        <v>1226.117417745339</v>
      </c>
      <c r="AA121" s="230">
        <f t="shared" si="8"/>
        <v>0.16886770499870379</v>
      </c>
      <c r="AB121" s="230">
        <f t="shared" si="30"/>
        <v>-0.35462651688014946</v>
      </c>
      <c r="AC121" s="41">
        <f t="shared" si="40"/>
        <v>0.36512801964622288</v>
      </c>
      <c r="AD121" s="41">
        <f t="shared" si="9"/>
        <v>0.16432592617278385</v>
      </c>
      <c r="AE121" s="41">
        <f t="shared" si="32"/>
        <v>-6.4155847645611889E-3</v>
      </c>
      <c r="AF121" s="41">
        <f t="shared" si="10"/>
        <v>740.99797670338296</v>
      </c>
      <c r="AG121" s="41">
        <f t="shared" si="11"/>
        <v>723.1780681898199</v>
      </c>
      <c r="AH121" s="41">
        <f t="shared" si="33"/>
        <v>7.1066668473331474</v>
      </c>
      <c r="AI121" s="41">
        <f t="shared" si="12"/>
        <v>296.8597227512858</v>
      </c>
      <c r="AJ121" s="41">
        <f t="shared" si="34"/>
        <v>4.7204790076157446</v>
      </c>
      <c r="AK121" s="8">
        <f t="shared" si="36"/>
        <v>11.139067383344617</v>
      </c>
      <c r="AL121" s="42">
        <f t="shared" si="37"/>
        <v>1.3216405715438546</v>
      </c>
      <c r="AZ121" s="8"/>
    </row>
    <row r="122" spans="1:52" x14ac:dyDescent="0.25">
      <c r="A122" s="40"/>
      <c r="B122" s="41">
        <f t="shared" si="39"/>
        <v>740.99797670338296</v>
      </c>
      <c r="C122" s="41">
        <f t="shared" si="39"/>
        <v>723.1780681898199</v>
      </c>
      <c r="D122" s="41">
        <f t="shared" si="39"/>
        <v>7.1066668473331474</v>
      </c>
      <c r="E122" s="41">
        <f t="shared" si="35"/>
        <v>16</v>
      </c>
      <c r="F122" s="41">
        <f t="shared" si="14"/>
        <v>16</v>
      </c>
      <c r="G122" s="41">
        <f t="shared" si="15"/>
        <v>1662.7329277759609</v>
      </c>
      <c r="H122" s="25">
        <f t="shared" si="41"/>
        <v>0.06</v>
      </c>
      <c r="I122" s="226">
        <f t="shared" si="17"/>
        <v>14.255926810850452</v>
      </c>
      <c r="J122" s="227">
        <f t="shared" si="38"/>
        <v>80</v>
      </c>
      <c r="K122" s="41">
        <f t="shared" si="18"/>
        <v>1</v>
      </c>
      <c r="L122" s="215">
        <f t="shared" si="19"/>
        <v>7.166666847333147</v>
      </c>
      <c r="M122" s="215">
        <f t="shared" si="4"/>
        <v>7.1366668473331476</v>
      </c>
      <c r="N122" s="41">
        <f t="shared" si="20"/>
        <v>0.30459856099699323</v>
      </c>
      <c r="O122" s="41">
        <f t="shared" si="21"/>
        <v>7.1400111917471554</v>
      </c>
      <c r="P122" s="228">
        <f t="shared" si="22"/>
        <v>128.77052104174055</v>
      </c>
      <c r="Q122" s="41">
        <f t="shared" si="23"/>
        <v>1561.7492420769477</v>
      </c>
      <c r="R122" s="41">
        <f t="shared" si="24"/>
        <v>1232.4844522473402</v>
      </c>
      <c r="S122" s="215">
        <f t="shared" si="5"/>
        <v>0.17747245702808262</v>
      </c>
      <c r="T122" s="215">
        <f t="shared" si="6"/>
        <v>0.37032019608295691</v>
      </c>
      <c r="U122" s="230">
        <f t="shared" si="25"/>
        <v>7.0466668473331477</v>
      </c>
      <c r="V122" s="230">
        <f t="shared" si="7"/>
        <v>7.0766668473331471</v>
      </c>
      <c r="W122" s="41">
        <f t="shared" si="26"/>
        <v>-0.29725077053552695</v>
      </c>
      <c r="X122" s="41">
        <f t="shared" si="27"/>
        <v>1520.6884283372153</v>
      </c>
      <c r="Y122" s="41">
        <f t="shared" si="28"/>
        <v>126.61440163509555</v>
      </c>
      <c r="Z122" s="41">
        <f t="shared" si="29"/>
        <v>1228.720614664803</v>
      </c>
      <c r="AA122" s="230">
        <f t="shared" si="8"/>
        <v>0.17333577398496669</v>
      </c>
      <c r="AB122" s="230">
        <f t="shared" si="30"/>
        <v>-0.35957860662295227</v>
      </c>
      <c r="AC122" s="41">
        <f t="shared" si="40"/>
        <v>0.37032019608295691</v>
      </c>
      <c r="AD122" s="41">
        <f t="shared" si="9"/>
        <v>0.16202194920678634</v>
      </c>
      <c r="AE122" s="41">
        <f t="shared" si="32"/>
        <v>-6.2655042645339155E-3</v>
      </c>
      <c r="AF122" s="41">
        <f t="shared" si="10"/>
        <v>740.93225506829697</v>
      </c>
      <c r="AG122" s="41">
        <f t="shared" si="11"/>
        <v>722.80774799373694</v>
      </c>
      <c r="AH122" s="41">
        <f t="shared" si="33"/>
        <v>7.1671471918168015</v>
      </c>
      <c r="AI122" s="41">
        <f t="shared" si="12"/>
        <v>300.46642406539621</v>
      </c>
      <c r="AJ122" s="41">
        <f t="shared" si="34"/>
        <v>4.8039419031894655</v>
      </c>
      <c r="AK122" s="8">
        <f t="shared" si="36"/>
        <v>11.626121641671466</v>
      </c>
      <c r="AL122" s="42">
        <f t="shared" si="37"/>
        <v>1.3456778854690863</v>
      </c>
      <c r="AZ122" s="8"/>
    </row>
    <row r="123" spans="1:52" x14ac:dyDescent="0.25">
      <c r="A123" s="40"/>
      <c r="B123" s="41">
        <f t="shared" si="39"/>
        <v>740.93225506829697</v>
      </c>
      <c r="C123" s="41">
        <f t="shared" si="39"/>
        <v>722.80774799373694</v>
      </c>
      <c r="D123" s="41">
        <f t="shared" si="39"/>
        <v>7.1671471918168015</v>
      </c>
      <c r="E123" s="41">
        <f t="shared" si="35"/>
        <v>16</v>
      </c>
      <c r="F123" s="41">
        <f t="shared" si="14"/>
        <v>16</v>
      </c>
      <c r="G123" s="41">
        <f t="shared" si="15"/>
        <v>1705.1867006856978</v>
      </c>
      <c r="H123" s="25">
        <f t="shared" si="41"/>
        <v>0.06</v>
      </c>
      <c r="I123" s="226">
        <f t="shared" si="17"/>
        <v>14.499605659648024</v>
      </c>
      <c r="J123" s="227">
        <f t="shared" si="38"/>
        <v>80</v>
      </c>
      <c r="K123" s="41">
        <f t="shared" si="18"/>
        <v>1</v>
      </c>
      <c r="L123" s="215">
        <f t="shared" si="19"/>
        <v>7.2271471918168011</v>
      </c>
      <c r="M123" s="215">
        <f t="shared" si="4"/>
        <v>7.1971471918168017</v>
      </c>
      <c r="N123" s="41">
        <f t="shared" si="20"/>
        <v>0.3072114819951679</v>
      </c>
      <c r="O123" s="41">
        <f t="shared" si="21"/>
        <v>7.1317127399569644</v>
      </c>
      <c r="P123" s="228">
        <f t="shared" si="22"/>
        <v>130.22526529279551</v>
      </c>
      <c r="Q123" s="41">
        <f t="shared" si="23"/>
        <v>1603.8434345241749</v>
      </c>
      <c r="R123" s="41">
        <f t="shared" si="24"/>
        <v>1234.9448412952227</v>
      </c>
      <c r="S123" s="215">
        <f t="shared" si="5"/>
        <v>0.18210445418487586</v>
      </c>
      <c r="T123" s="215">
        <f t="shared" si="6"/>
        <v>0.37561212255899668</v>
      </c>
      <c r="U123" s="230">
        <f t="shared" si="25"/>
        <v>7.1071471918168019</v>
      </c>
      <c r="V123" s="230">
        <f t="shared" si="7"/>
        <v>7.1371471918168012</v>
      </c>
      <c r="W123" s="41">
        <f t="shared" si="26"/>
        <v>-0.2997598083515598</v>
      </c>
      <c r="X123" s="41">
        <f t="shared" si="27"/>
        <v>1562.0807658631927</v>
      </c>
      <c r="Y123" s="41">
        <f t="shared" si="28"/>
        <v>128.0630344840647</v>
      </c>
      <c r="Z123" s="41">
        <f t="shared" si="29"/>
        <v>1231.265150372039</v>
      </c>
      <c r="AA123" s="230">
        <f t="shared" si="8"/>
        <v>0.1778926708895843</v>
      </c>
      <c r="AB123" s="230">
        <f t="shared" si="30"/>
        <v>-0.36462369052946325</v>
      </c>
      <c r="AC123" s="41">
        <f t="shared" si="40"/>
        <v>0.37561212255899668</v>
      </c>
      <c r="AD123" s="41">
        <f t="shared" si="9"/>
        <v>0.15973925333194194</v>
      </c>
      <c r="AE123" s="41">
        <f t="shared" si="32"/>
        <v>-6.120383358641103E-3</v>
      </c>
      <c r="AF123" s="41">
        <f t="shared" si="10"/>
        <v>740.86385442773314</v>
      </c>
      <c r="AG123" s="41">
        <f t="shared" si="11"/>
        <v>722.43213587117793</v>
      </c>
      <c r="AH123" s="41">
        <f t="shared" si="33"/>
        <v>7.2276337435551614</v>
      </c>
      <c r="AI123" s="41">
        <f t="shared" si="12"/>
        <v>304.15295485185464</v>
      </c>
      <c r="AJ123" s="41">
        <f t="shared" si="34"/>
        <v>4.8884288350927587</v>
      </c>
      <c r="AK123" s="8">
        <f t="shared" si="36"/>
        <v>12.131846774784</v>
      </c>
      <c r="AL123" s="42">
        <f t="shared" si="37"/>
        <v>1.3700101218572347</v>
      </c>
      <c r="AZ123" s="8"/>
    </row>
    <row r="124" spans="1:52" x14ac:dyDescent="0.25">
      <c r="A124" s="40"/>
      <c r="B124" s="41">
        <f t="shared" si="39"/>
        <v>740.86385442773314</v>
      </c>
      <c r="C124" s="41">
        <f t="shared" si="39"/>
        <v>722.43213587117793</v>
      </c>
      <c r="D124" s="41">
        <f t="shared" si="39"/>
        <v>7.2276337435551614</v>
      </c>
      <c r="E124" s="41">
        <f t="shared" si="35"/>
        <v>16</v>
      </c>
      <c r="F124" s="41">
        <f t="shared" si="14"/>
        <v>16</v>
      </c>
      <c r="G124" s="41">
        <f t="shared" si="15"/>
        <v>1748.3614821133838</v>
      </c>
      <c r="H124" s="25">
        <f t="shared" si="41"/>
        <v>0.06</v>
      </c>
      <c r="I124" s="226">
        <f t="shared" si="17"/>
        <v>14.74537484524417</v>
      </c>
      <c r="J124" s="227">
        <f t="shared" si="38"/>
        <v>80</v>
      </c>
      <c r="K124" s="41">
        <f t="shared" si="18"/>
        <v>1</v>
      </c>
      <c r="L124" s="215">
        <f t="shared" si="19"/>
        <v>7.287633743555161</v>
      </c>
      <c r="M124" s="215">
        <f t="shared" si="4"/>
        <v>7.2576337435551608</v>
      </c>
      <c r="N124" s="41">
        <f t="shared" si="20"/>
        <v>0.30982511140099689</v>
      </c>
      <c r="O124" s="41">
        <f t="shared" si="21"/>
        <v>7.1230760190751052</v>
      </c>
      <c r="P124" s="228">
        <f t="shared" si="22"/>
        <v>131.68423992684922</v>
      </c>
      <c r="Q124" s="41">
        <f t="shared" si="23"/>
        <v>1646.6555025832861</v>
      </c>
      <c r="R124" s="41">
        <f t="shared" si="24"/>
        <v>1237.3511430589936</v>
      </c>
      <c r="S124" s="215">
        <f t="shared" si="5"/>
        <v>0.18682810408572526</v>
      </c>
      <c r="T124" s="215">
        <f t="shared" si="6"/>
        <v>0.38100813980130332</v>
      </c>
      <c r="U124" s="230">
        <f t="shared" si="25"/>
        <v>7.1676337435551618</v>
      </c>
      <c r="V124" s="230">
        <f t="shared" si="7"/>
        <v>7.1976337435551621</v>
      </c>
      <c r="W124" s="41">
        <f t="shared" si="26"/>
        <v>-0.30226866343985392</v>
      </c>
      <c r="X124" s="41">
        <f t="shared" si="27"/>
        <v>1604.1849583177807</v>
      </c>
      <c r="Y124" s="41">
        <f t="shared" si="28"/>
        <v>129.51593134480811</v>
      </c>
      <c r="Z124" s="41">
        <f t="shared" si="29"/>
        <v>1233.7529151226151</v>
      </c>
      <c r="AA124" s="230">
        <f t="shared" si="8"/>
        <v>0.18254026167229334</v>
      </c>
      <c r="AB124" s="230">
        <f t="shared" si="30"/>
        <v>-0.36976581141257281</v>
      </c>
      <c r="AC124" s="41">
        <f t="shared" si="40"/>
        <v>0.38100813980130332</v>
      </c>
      <c r="AD124" s="41">
        <f t="shared" si="9"/>
        <v>0.15747695057457339</v>
      </c>
      <c r="AE124" s="41">
        <f t="shared" si="32"/>
        <v>-5.9800216037334975E-3</v>
      </c>
      <c r="AF124" s="41">
        <f t="shared" si="10"/>
        <v>740.79267139933279</v>
      </c>
      <c r="AG124" s="41">
        <f t="shared" si="11"/>
        <v>722.0511277313766</v>
      </c>
      <c r="AH124" s="41">
        <f t="shared" si="33"/>
        <v>7.2881264857412624</v>
      </c>
      <c r="AI124" s="41">
        <f t="shared" si="12"/>
        <v>307.922405000872</v>
      </c>
      <c r="AJ124" s="41">
        <f t="shared" si="34"/>
        <v>4.9739628364818902</v>
      </c>
      <c r="AK124" s="8">
        <f t="shared" si="36"/>
        <v>12.656911964634642</v>
      </c>
      <c r="AL124" s="42">
        <f t="shared" si="37"/>
        <v>1.3946439142573044</v>
      </c>
      <c r="AZ124" s="8"/>
    </row>
    <row r="125" spans="1:52" x14ac:dyDescent="0.25">
      <c r="A125" s="40"/>
      <c r="B125" s="41">
        <f t="shared" si="39"/>
        <v>740.79267139933279</v>
      </c>
      <c r="C125" s="41">
        <f t="shared" si="39"/>
        <v>722.0511277313766</v>
      </c>
      <c r="D125" s="41">
        <f t="shared" si="39"/>
        <v>7.2881264857412624</v>
      </c>
      <c r="E125" s="41">
        <f t="shared" si="35"/>
        <v>16</v>
      </c>
      <c r="F125" s="41">
        <f t="shared" si="14"/>
        <v>16</v>
      </c>
      <c r="G125" s="41">
        <f t="shared" si="15"/>
        <v>1792.2634795471879</v>
      </c>
      <c r="H125" s="25">
        <f t="shared" si="41"/>
        <v>0.06</v>
      </c>
      <c r="I125" s="226">
        <f t="shared" si="17"/>
        <v>14.993234934364956</v>
      </c>
      <c r="J125" s="227">
        <f t="shared" si="38"/>
        <v>80</v>
      </c>
      <c r="K125" s="41">
        <f t="shared" si="18"/>
        <v>1</v>
      </c>
      <c r="L125" s="215">
        <f t="shared" si="19"/>
        <v>7.348126485741262</v>
      </c>
      <c r="M125" s="215">
        <f t="shared" ref="M125:M188" si="42">(D125+L125)/2</f>
        <v>7.3181264857412618</v>
      </c>
      <c r="N125" s="41">
        <f t="shared" si="20"/>
        <v>0.31243944862359285</v>
      </c>
      <c r="O125" s="41">
        <f t="shared" si="21"/>
        <v>7.114087975355754</v>
      </c>
      <c r="P125" s="228">
        <f t="shared" si="22"/>
        <v>133.14742314954105</v>
      </c>
      <c r="Q125" s="41">
        <f t="shared" si="23"/>
        <v>1690.1916518685186</v>
      </c>
      <c r="R125" s="41">
        <f t="shared" si="24"/>
        <v>1239.7050576735032</v>
      </c>
      <c r="S125" s="215">
        <f t="shared" ref="S125:S188" si="43">Q125/O125/R125</f>
        <v>0.19164537718243471</v>
      </c>
      <c r="T125" s="215">
        <f t="shared" ref="T125:T188" si="44">N125/(1-S125)</f>
        <v>0.38651284944046915</v>
      </c>
      <c r="U125" s="230">
        <f t="shared" si="25"/>
        <v>7.2281264857412628</v>
      </c>
      <c r="V125" s="230">
        <f t="shared" ref="V125:V188" si="45">(D125+U125)/2</f>
        <v>7.2581264857412631</v>
      </c>
      <c r="W125" s="41">
        <f t="shared" si="26"/>
        <v>-0.30477733496796588</v>
      </c>
      <c r="X125" s="41">
        <f t="shared" si="27"/>
        <v>1647.0072096829056</v>
      </c>
      <c r="Y125" s="41">
        <f t="shared" si="28"/>
        <v>130.97306995879555</v>
      </c>
      <c r="Z125" s="41">
        <f t="shared" si="29"/>
        <v>1236.1857200913153</v>
      </c>
      <c r="AA125" s="230">
        <f t="shared" ref="AA125:AA188" si="46">X125/O125/Z125</f>
        <v>0.18728049400176902</v>
      </c>
      <c r="AB125" s="230">
        <f t="shared" si="30"/>
        <v>-0.37500925315385414</v>
      </c>
      <c r="AC125" s="41">
        <f t="shared" si="40"/>
        <v>0.38651284944046915</v>
      </c>
      <c r="AD125" s="41">
        <f t="shared" ref="AD125:AD188" si="47">H125/AC125*K125</f>
        <v>0.15523416643679067</v>
      </c>
      <c r="AE125" s="41">
        <f t="shared" si="32"/>
        <v>-5.8442288073407732E-3</v>
      </c>
      <c r="AF125" s="41">
        <f t="shared" ref="AF125:AF188" si="48">B125-(AC125-N125)</f>
        <v>740.71859799851586</v>
      </c>
      <c r="AG125" s="41">
        <f t="shared" ref="AG125:AG188" si="49">C125-AC125</f>
        <v>721.66461488193613</v>
      </c>
      <c r="AH125" s="41">
        <f t="shared" si="33"/>
        <v>7.3486254019919457</v>
      </c>
      <c r="AI125" s="41">
        <f t="shared" ref="AI125:AI188" si="50">AC125/R125*1000000</f>
        <v>311.77806934644587</v>
      </c>
      <c r="AJ125" s="41">
        <f t="shared" si="34"/>
        <v>5.0605678557447922</v>
      </c>
      <c r="AK125" s="8">
        <f t="shared" si="36"/>
        <v>13.202012732047644</v>
      </c>
      <c r="AL125" s="42">
        <f t="shared" si="37"/>
        <v>1.4195861598050201</v>
      </c>
      <c r="AZ125" s="8"/>
    </row>
    <row r="126" spans="1:52" x14ac:dyDescent="0.25">
      <c r="A126" s="40"/>
      <c r="B126" s="41">
        <f t="shared" ref="B126:D157" si="51">AF125</f>
        <v>740.71859799851586</v>
      </c>
      <c r="C126" s="41">
        <f t="shared" si="51"/>
        <v>721.66461488193613</v>
      </c>
      <c r="D126" s="41">
        <f t="shared" si="51"/>
        <v>7.3486254019919457</v>
      </c>
      <c r="E126" s="41">
        <f t="shared" si="35"/>
        <v>16</v>
      </c>
      <c r="F126" s="41">
        <f t="shared" ref="F126:F189" si="52">(E126+E125)/2</f>
        <v>16</v>
      </c>
      <c r="G126" s="41">
        <f t="shared" ref="G126:G189" si="53">F126*$S$53*$C$55*(B126-C126+N126)^1.5</f>
        <v>1836.8989036936339</v>
      </c>
      <c r="H126" s="25">
        <f t="shared" si="41"/>
        <v>0.06</v>
      </c>
      <c r="I126" s="226">
        <f t="shared" ref="I126:I189" si="54">(B126-C126)*B$19</f>
        <v>15.243186493263785</v>
      </c>
      <c r="J126" s="227">
        <f t="shared" si="38"/>
        <v>80</v>
      </c>
      <c r="K126" s="41">
        <f t="shared" ref="K126:K189" si="55">IF((1-S125-0.015)&gt;0,1,-1)</f>
        <v>1</v>
      </c>
      <c r="L126" s="215">
        <f t="shared" ref="L126:L189" si="56">D126+K126*H126</f>
        <v>7.4086254019919453</v>
      </c>
      <c r="M126" s="215">
        <f t="shared" si="42"/>
        <v>7.3786254019919451</v>
      </c>
      <c r="N126" s="41">
        <f t="shared" ref="N126:N189" si="57">2*($P$53*M126/$S$52/$S$51)^2-(B126-C126)*2</f>
        <v>0.3150544930899386</v>
      </c>
      <c r="O126" s="41">
        <f t="shared" ref="O126:O189" si="58">wh(B126,$F$51,$F$52,$F$53)</f>
        <v>7.104734973945936</v>
      </c>
      <c r="P126" s="228">
        <f t="shared" ref="P126:P189" si="59">$C$54*$L$55*$L$55*M126*M126/(($B$19*(B126-C126))^0.333)*1000</f>
        <v>134.61479347026821</v>
      </c>
      <c r="Q126" s="41">
        <f t="shared" ref="Q126:Q189" si="60">M126/$S$54*(B126-C126+N126/2)*E126-$C$53</f>
        <v>1734.4580912125875</v>
      </c>
      <c r="R126" s="41">
        <f t="shared" ref="R126:R189" si="61">rate1(1,$L$52,$L$51,$L$54,L126,$L$53,$L$50,P126)</f>
        <v>1242.0082158886009</v>
      </c>
      <c r="S126" s="215">
        <f t="shared" si="43"/>
        <v>0.19655833278042423</v>
      </c>
      <c r="T126" s="215">
        <f t="shared" si="44"/>
        <v>0.39213113526988153</v>
      </c>
      <c r="U126" s="230">
        <f t="shared" ref="U126:U189" si="62">D126-K126*H126</f>
        <v>7.2886254019919461</v>
      </c>
      <c r="V126" s="230">
        <f t="shared" si="45"/>
        <v>7.3186254019919463</v>
      </c>
      <c r="W126" s="41">
        <f t="shared" ref="W126:W189" si="63">2*($P$53*V126/$S$52/$S$51)^2-(B126-C126)*2</f>
        <v>-0.30728582212143607</v>
      </c>
      <c r="X126" s="41">
        <f t="shared" ref="X126:X189" si="64">V126/$S$54*(B126-C126+W126/2)*F126-$C$53</f>
        <v>1690.5537271603343</v>
      </c>
      <c r="Y126" s="41">
        <f t="shared" ref="Y126:Y189" si="65">$C$54*$L$55*$L$55*V126*V126/(($B$19*(B126-C126))^0.333)*1000</f>
        <v>132.43442838139927</v>
      </c>
      <c r="Z126" s="41">
        <f t="shared" ref="Z126:Z189" si="66">rate1(1,$L$52,$L$51,$L$54,U126,$L$53,$L$50,Y126)</f>
        <v>1238.5653014318982</v>
      </c>
      <c r="AA126" s="230">
        <f t="shared" si="46"/>
        <v>0.19211540307867428</v>
      </c>
      <c r="AB126" s="230">
        <f t="shared" ref="AB126:AB189" si="67">W126/(1-AA126)</f>
        <v>-0.38035856023550413</v>
      </c>
      <c r="AC126" s="41">
        <f t="shared" ref="AC126:AC157" si="68">delta_z(N126,S126,H126,AE125,AB126)</f>
        <v>0.39213113526988153</v>
      </c>
      <c r="AD126" s="41">
        <f t="shared" si="47"/>
        <v>0.15301003823301462</v>
      </c>
      <c r="AE126" s="41">
        <f t="shared" ref="AE126:AE189" si="69">(AD126-AD125)/(AC126+AC125)*2</f>
        <v>-5.7128244677916605E-3</v>
      </c>
      <c r="AF126" s="41">
        <f t="shared" si="48"/>
        <v>740.64152135633594</v>
      </c>
      <c r="AG126" s="41">
        <f t="shared" si="49"/>
        <v>721.27248374666624</v>
      </c>
      <c r="AH126" s="41">
        <f t="shared" ref="AH126:AH189" si="70">$S$54*$S$53*$C$55*SQRT(AF126-AG126)</f>
        <v>7.4091304763341217</v>
      </c>
      <c r="AI126" s="41">
        <f t="shared" si="50"/>
        <v>315.72346322148064</v>
      </c>
      <c r="AJ126" s="41">
        <f t="shared" ref="AJ126:AJ189" si="71">AJ125+AI126/3600</f>
        <v>5.1482688177507594</v>
      </c>
      <c r="AK126" s="8">
        <f t="shared" si="36"/>
        <v>13.767872364815663</v>
      </c>
      <c r="AL126" s="42">
        <f t="shared" si="37"/>
        <v>1.4448440368627387</v>
      </c>
      <c r="AZ126" s="8"/>
    </row>
    <row r="127" spans="1:52" x14ac:dyDescent="0.25">
      <c r="A127" s="40"/>
      <c r="B127" s="41">
        <f t="shared" si="51"/>
        <v>740.64152135633594</v>
      </c>
      <c r="C127" s="41">
        <f t="shared" si="51"/>
        <v>721.27248374666624</v>
      </c>
      <c r="D127" s="41">
        <f t="shared" si="51"/>
        <v>7.4091304763341217</v>
      </c>
      <c r="E127" s="41">
        <f t="shared" ref="E127:E190" si="72">CalBreachWidth(C127,B127,I127,E126)</f>
        <v>16</v>
      </c>
      <c r="F127" s="41">
        <f t="shared" si="52"/>
        <v>16</v>
      </c>
      <c r="G127" s="41">
        <f t="shared" si="53"/>
        <v>1882.2739684771366</v>
      </c>
      <c r="H127" s="25">
        <f t="shared" ref="H127:H158" si="73">dv(S126)</f>
        <v>0.06</v>
      </c>
      <c r="I127" s="226">
        <f t="shared" si="54"/>
        <v>15.495230087735763</v>
      </c>
      <c r="J127" s="227">
        <f t="shared" si="38"/>
        <v>80</v>
      </c>
      <c r="K127" s="41">
        <f t="shared" si="55"/>
        <v>1</v>
      </c>
      <c r="L127" s="215">
        <f t="shared" si="56"/>
        <v>7.4691304763341213</v>
      </c>
      <c r="M127" s="215">
        <f t="shared" si="42"/>
        <v>7.4391304763341211</v>
      </c>
      <c r="N127" s="41">
        <f t="shared" si="57"/>
        <v>0.31767024424426893</v>
      </c>
      <c r="O127" s="41">
        <f t="shared" si="58"/>
        <v>7.0950027632600188</v>
      </c>
      <c r="P127" s="228">
        <f t="shared" si="59"/>
        <v>136.08632969555353</v>
      </c>
      <c r="Q127" s="41">
        <f t="shared" si="60"/>
        <v>1779.461032666198</v>
      </c>
      <c r="R127" s="41">
        <f t="shared" si="61"/>
        <v>1244.2621825442261</v>
      </c>
      <c r="S127" s="215">
        <f t="shared" si="43"/>
        <v>0.20156912545779457</v>
      </c>
      <c r="T127" s="215">
        <f t="shared" si="44"/>
        <v>0.3978681866810459</v>
      </c>
      <c r="U127" s="230">
        <f t="shared" si="62"/>
        <v>7.3491304763341221</v>
      </c>
      <c r="V127" s="230">
        <f t="shared" si="45"/>
        <v>7.3791304763341223</v>
      </c>
      <c r="W127" s="41">
        <f t="shared" si="63"/>
        <v>-0.30979412410336238</v>
      </c>
      <c r="X127" s="41">
        <f t="shared" si="64"/>
        <v>1734.8307211711406</v>
      </c>
      <c r="Y127" s="41">
        <f t="shared" si="65"/>
        <v>133.89998497495964</v>
      </c>
      <c r="Z127" s="41">
        <f t="shared" si="66"/>
        <v>1240.8933240904123</v>
      </c>
      <c r="AA127" s="230">
        <f t="shared" si="46"/>
        <v>0.19704711796052762</v>
      </c>
      <c r="AB127" s="230">
        <f t="shared" si="67"/>
        <v>-0.38581855926152986</v>
      </c>
      <c r="AC127" s="41">
        <f t="shared" si="68"/>
        <v>0.3978681866810459</v>
      </c>
      <c r="AD127" s="41">
        <f t="shared" si="47"/>
        <v>0.15080371341199858</v>
      </c>
      <c r="AE127" s="41">
        <f t="shared" si="69"/>
        <v>-5.5856372523648661E-3</v>
      </c>
      <c r="AF127" s="41">
        <f t="shared" si="48"/>
        <v>740.56132341389912</v>
      </c>
      <c r="AG127" s="41">
        <f t="shared" si="49"/>
        <v>720.87461555998516</v>
      </c>
      <c r="AH127" s="41">
        <f t="shared" si="70"/>
        <v>7.4696416931914964</v>
      </c>
      <c r="AI127" s="41">
        <f t="shared" si="50"/>
        <v>319.76233969234539</v>
      </c>
      <c r="AJ127" s="41">
        <f t="shared" si="71"/>
        <v>5.2370916898875217</v>
      </c>
      <c r="AK127" s="8">
        <f t="shared" ref="AK127:AK190" si="74">AK126+AI127*G126/1000000</f>
        <v>14.355243456039043</v>
      </c>
      <c r="AL127" s="42">
        <f t="shared" ref="AL127:AL190" si="75">AL126+AI127*J127/1000000</f>
        <v>1.4704250240381262</v>
      </c>
      <c r="AZ127" s="8"/>
    </row>
    <row r="128" spans="1:52" x14ac:dyDescent="0.25">
      <c r="A128" s="40"/>
      <c r="B128" s="41">
        <f t="shared" si="51"/>
        <v>740.56132341389912</v>
      </c>
      <c r="C128" s="41">
        <f t="shared" si="51"/>
        <v>720.87461555998516</v>
      </c>
      <c r="D128" s="41">
        <f t="shared" si="51"/>
        <v>7.4696416931914964</v>
      </c>
      <c r="E128" s="41">
        <f t="shared" si="72"/>
        <v>16</v>
      </c>
      <c r="F128" s="41">
        <f t="shared" si="52"/>
        <v>16</v>
      </c>
      <c r="G128" s="41">
        <f t="shared" si="53"/>
        <v>1928.3948910394915</v>
      </c>
      <c r="H128" s="25">
        <f t="shared" si="73"/>
        <v>0.06</v>
      </c>
      <c r="I128" s="226">
        <f t="shared" si="54"/>
        <v>15.749366283131167</v>
      </c>
      <c r="J128" s="227">
        <f t="shared" ref="J128:J191" si="76">IF(H128&gt;0, $B$7,"")</f>
        <v>80</v>
      </c>
      <c r="K128" s="41">
        <f t="shared" si="55"/>
        <v>1</v>
      </c>
      <c r="L128" s="215">
        <f t="shared" si="56"/>
        <v>7.529641693191496</v>
      </c>
      <c r="M128" s="215">
        <f t="shared" si="42"/>
        <v>7.4996416931914958</v>
      </c>
      <c r="N128" s="41">
        <f t="shared" si="57"/>
        <v>0.32028670154751637</v>
      </c>
      <c r="O128" s="41">
        <f t="shared" si="58"/>
        <v>7.0848764363949952</v>
      </c>
      <c r="P128" s="228">
        <f t="shared" si="59"/>
        <v>137.56201092260918</v>
      </c>
      <c r="Q128" s="41">
        <f t="shared" si="60"/>
        <v>1825.2066914975214</v>
      </c>
      <c r="R128" s="41">
        <f t="shared" si="61"/>
        <v>1246.4684598396598</v>
      </c>
      <c r="S128" s="215">
        <f t="shared" si="43"/>
        <v>0.20668001204831346</v>
      </c>
      <c r="T128" s="215">
        <f t="shared" si="44"/>
        <v>0.40372952454466826</v>
      </c>
      <c r="U128" s="230">
        <f t="shared" si="62"/>
        <v>7.4096416931914968</v>
      </c>
      <c r="V128" s="230">
        <f t="shared" si="45"/>
        <v>7.439641693191497</v>
      </c>
      <c r="W128" s="41">
        <f t="shared" si="63"/>
        <v>-0.3123022401335831</v>
      </c>
      <c r="X128" s="41">
        <f t="shared" si="64"/>
        <v>1779.844405355153</v>
      </c>
      <c r="Y128" s="41">
        <f t="shared" si="65"/>
        <v>135.369718402058</v>
      </c>
      <c r="Z128" s="41">
        <f t="shared" si="66"/>
        <v>1243.171385389287</v>
      </c>
      <c r="AA128" s="230">
        <f t="shared" si="46"/>
        <v>0.20207786844211723</v>
      </c>
      <c r="AB128" s="230">
        <f t="shared" si="67"/>
        <v>-0.39139438271230365</v>
      </c>
      <c r="AC128" s="41">
        <f t="shared" si="68"/>
        <v>0.40372952454466826</v>
      </c>
      <c r="AD128" s="41">
        <f t="shared" si="47"/>
        <v>0.14861434785496261</v>
      </c>
      <c r="AE128" s="41">
        <f t="shared" si="69"/>
        <v>-5.4625045116165234E-3</v>
      </c>
      <c r="AF128" s="41">
        <f t="shared" si="48"/>
        <v>740.47788059090192</v>
      </c>
      <c r="AG128" s="41">
        <f t="shared" si="49"/>
        <v>720.47088603544046</v>
      </c>
      <c r="AH128" s="41">
        <f t="shared" si="70"/>
        <v>7.5301590373719796</v>
      </c>
      <c r="AI128" s="41">
        <f t="shared" si="50"/>
        <v>323.89870867378568</v>
      </c>
      <c r="AJ128" s="41">
        <f t="shared" si="71"/>
        <v>5.327063553408018</v>
      </c>
      <c r="AK128" s="8">
        <f t="shared" si="74"/>
        <v>14.964909563799068</v>
      </c>
      <c r="AL128" s="42">
        <f t="shared" si="75"/>
        <v>1.4963369207320292</v>
      </c>
      <c r="AZ128" s="8"/>
    </row>
    <row r="129" spans="1:52" x14ac:dyDescent="0.25">
      <c r="A129" s="40"/>
      <c r="B129" s="41">
        <f t="shared" si="51"/>
        <v>740.47788059090192</v>
      </c>
      <c r="C129" s="41">
        <f t="shared" si="51"/>
        <v>720.47088603544046</v>
      </c>
      <c r="D129" s="41">
        <f t="shared" si="51"/>
        <v>7.5301590373719796</v>
      </c>
      <c r="E129" s="41">
        <f t="shared" si="72"/>
        <v>16</v>
      </c>
      <c r="F129" s="41">
        <f t="shared" si="52"/>
        <v>16</v>
      </c>
      <c r="G129" s="41">
        <f t="shared" si="53"/>
        <v>1975.2678917395399</v>
      </c>
      <c r="H129" s="25">
        <f t="shared" si="73"/>
        <v>0.06</v>
      </c>
      <c r="I129" s="226">
        <f t="shared" si="54"/>
        <v>16.005595644369169</v>
      </c>
      <c r="J129" s="227">
        <f t="shared" si="76"/>
        <v>80</v>
      </c>
      <c r="K129" s="41">
        <f t="shared" si="55"/>
        <v>1</v>
      </c>
      <c r="L129" s="215">
        <f t="shared" si="56"/>
        <v>7.5901590373719792</v>
      </c>
      <c r="M129" s="215">
        <f t="shared" si="42"/>
        <v>7.5601590373719798</v>
      </c>
      <c r="N129" s="41">
        <f t="shared" si="57"/>
        <v>0.32290386447679964</v>
      </c>
      <c r="O129" s="41">
        <f t="shared" si="58"/>
        <v>7.0743403892778822</v>
      </c>
      <c r="P129" s="228">
        <f t="shared" si="59"/>
        <v>139.04181653309249</v>
      </c>
      <c r="Q129" s="41">
        <f t="shared" si="60"/>
        <v>1871.701286191837</v>
      </c>
      <c r="R129" s="41">
        <f t="shared" si="61"/>
        <v>1248.6284904109948</v>
      </c>
      <c r="S129" s="215">
        <f t="shared" si="43"/>
        <v>0.21189335924986205</v>
      </c>
      <c r="T129" s="215">
        <f t="shared" si="44"/>
        <v>0.40972102984623038</v>
      </c>
      <c r="U129" s="230">
        <f t="shared" si="62"/>
        <v>7.4701590373719799</v>
      </c>
      <c r="V129" s="230">
        <f t="shared" si="45"/>
        <v>7.5001590373719793</v>
      </c>
      <c r="W129" s="41">
        <f t="shared" si="63"/>
        <v>-0.31481016944849927</v>
      </c>
      <c r="X129" s="41">
        <f t="shared" si="64"/>
        <v>1825.6009965705393</v>
      </c>
      <c r="Y129" s="41">
        <f t="shared" si="65"/>
        <v>136.84360761899259</v>
      </c>
      <c r="Z129" s="41">
        <f t="shared" si="66"/>
        <v>1245.4010183980911</v>
      </c>
      <c r="AA129" s="230">
        <f t="shared" si="46"/>
        <v>0.20720999255207054</v>
      </c>
      <c r="AB129" s="230">
        <f t="shared" si="67"/>
        <v>-0.39709149521435666</v>
      </c>
      <c r="AC129" s="41">
        <f t="shared" si="68"/>
        <v>0.40972102984623038</v>
      </c>
      <c r="AD129" s="41">
        <f t="shared" si="47"/>
        <v>0.14644110413985387</v>
      </c>
      <c r="AE129" s="41">
        <f t="shared" si="69"/>
        <v>-5.3432718273479776E-3</v>
      </c>
      <c r="AF129" s="41">
        <f t="shared" si="48"/>
        <v>740.39106342553248</v>
      </c>
      <c r="AG129" s="41">
        <f t="shared" si="49"/>
        <v>720.06116500559426</v>
      </c>
      <c r="AH129" s="41">
        <f t="shared" si="70"/>
        <v>7.5906824940554749</v>
      </c>
      <c r="AI129" s="41">
        <f t="shared" si="50"/>
        <v>328.13685815495671</v>
      </c>
      <c r="AJ129" s="41">
        <f t="shared" si="71"/>
        <v>5.4182126806732835</v>
      </c>
      <c r="AK129" s="8">
        <f t="shared" si="74"/>
        <v>15.597687004626838</v>
      </c>
      <c r="AL129" s="42">
        <f t="shared" si="75"/>
        <v>1.5225878693844257</v>
      </c>
      <c r="AZ129" s="8"/>
    </row>
    <row r="130" spans="1:52" x14ac:dyDescent="0.25">
      <c r="A130" s="40"/>
      <c r="B130" s="41">
        <f t="shared" si="51"/>
        <v>740.39106342553248</v>
      </c>
      <c r="C130" s="41">
        <f t="shared" si="51"/>
        <v>720.06116500559426</v>
      </c>
      <c r="D130" s="41">
        <f t="shared" si="51"/>
        <v>7.5906824940554749</v>
      </c>
      <c r="E130" s="41">
        <f t="shared" si="72"/>
        <v>16</v>
      </c>
      <c r="F130" s="41">
        <f t="shared" si="52"/>
        <v>16</v>
      </c>
      <c r="G130" s="41">
        <f t="shared" si="53"/>
        <v>2022.899194152769</v>
      </c>
      <c r="H130" s="25">
        <f t="shared" si="73"/>
        <v>0.06</v>
      </c>
      <c r="I130" s="226">
        <f t="shared" si="54"/>
        <v>16.263918735950575</v>
      </c>
      <c r="J130" s="227">
        <f t="shared" si="76"/>
        <v>80</v>
      </c>
      <c r="K130" s="41">
        <f t="shared" si="55"/>
        <v>1</v>
      </c>
      <c r="L130" s="215">
        <f t="shared" si="56"/>
        <v>7.6506824940554745</v>
      </c>
      <c r="M130" s="215">
        <f t="shared" si="42"/>
        <v>7.6206824940554743</v>
      </c>
      <c r="N130" s="41">
        <f t="shared" si="57"/>
        <v>0.32552173252493333</v>
      </c>
      <c r="O130" s="41">
        <f t="shared" si="58"/>
        <v>7.0633782751972349</v>
      </c>
      <c r="P130" s="228">
        <f t="shared" si="59"/>
        <v>140.52572618704275</v>
      </c>
      <c r="Q130" s="41">
        <f t="shared" si="60"/>
        <v>1918.9510384511091</v>
      </c>
      <c r="R130" s="41">
        <f t="shared" si="61"/>
        <v>1250.7436602297773</v>
      </c>
      <c r="S130" s="215">
        <f t="shared" si="43"/>
        <v>0.21721165192787104</v>
      </c>
      <c r="T130" s="215">
        <f t="shared" si="44"/>
        <v>0.41584897543076177</v>
      </c>
      <c r="U130" s="230">
        <f t="shared" si="62"/>
        <v>7.5306824940554753</v>
      </c>
      <c r="V130" s="230">
        <f t="shared" si="45"/>
        <v>7.5606824940554755</v>
      </c>
      <c r="W130" s="41">
        <f t="shared" si="63"/>
        <v>-0.31731791130010834</v>
      </c>
      <c r="X130" s="41">
        <f t="shared" si="64"/>
        <v>1872.1067148933691</v>
      </c>
      <c r="Y130" s="41">
        <f t="shared" si="65"/>
        <v>138.32163186944578</v>
      </c>
      <c r="Z130" s="41">
        <f t="shared" si="66"/>
        <v>1247.5836951055771</v>
      </c>
      <c r="AA130" s="230">
        <f t="shared" si="46"/>
        <v>0.21244594473406977</v>
      </c>
      <c r="AB130" s="230">
        <f t="shared" si="67"/>
        <v>-0.40291572264580727</v>
      </c>
      <c r="AC130" s="41">
        <f t="shared" si="68"/>
        <v>0.41584897543076177</v>
      </c>
      <c r="AD130" s="41">
        <f t="shared" si="47"/>
        <v>0.1442831497609158</v>
      </c>
      <c r="AE130" s="41">
        <f t="shared" si="69"/>
        <v>-5.2277925921352638E-3</v>
      </c>
      <c r="AF130" s="41">
        <f t="shared" si="48"/>
        <v>740.30073618262668</v>
      </c>
      <c r="AG130" s="41">
        <f t="shared" si="49"/>
        <v>719.64531603016349</v>
      </c>
      <c r="AH130" s="41">
        <f t="shared" si="70"/>
        <v>7.6512120487822211</v>
      </c>
      <c r="AI130" s="41">
        <f t="shared" si="50"/>
        <v>332.48137780235885</v>
      </c>
      <c r="AJ130" s="41">
        <f t="shared" si="71"/>
        <v>5.5105686189517167</v>
      </c>
      <c r="AK130" s="8">
        <f t="shared" si="74"/>
        <v>16.254426794801162</v>
      </c>
      <c r="AL130" s="42">
        <f t="shared" si="75"/>
        <v>1.5491863796086145</v>
      </c>
      <c r="AZ130" s="8"/>
    </row>
    <row r="131" spans="1:52" x14ac:dyDescent="0.25">
      <c r="A131" s="40"/>
      <c r="B131" s="41">
        <f t="shared" si="51"/>
        <v>740.30073618262668</v>
      </c>
      <c r="C131" s="41">
        <f t="shared" si="51"/>
        <v>719.64531603016349</v>
      </c>
      <c r="D131" s="41">
        <f t="shared" si="51"/>
        <v>7.6512120487822211</v>
      </c>
      <c r="E131" s="41">
        <f t="shared" si="72"/>
        <v>16</v>
      </c>
      <c r="F131" s="41">
        <f t="shared" si="52"/>
        <v>16</v>
      </c>
      <c r="G131" s="41">
        <f t="shared" si="53"/>
        <v>2071.2950250709937</v>
      </c>
      <c r="H131" s="25">
        <f t="shared" si="73"/>
        <v>0.06</v>
      </c>
      <c r="I131" s="226">
        <f t="shared" si="54"/>
        <v>16.524336121970556</v>
      </c>
      <c r="J131" s="227">
        <f t="shared" si="76"/>
        <v>80</v>
      </c>
      <c r="K131" s="41">
        <f t="shared" si="55"/>
        <v>1</v>
      </c>
      <c r="L131" s="215">
        <f t="shared" si="56"/>
        <v>7.7112120487822207</v>
      </c>
      <c r="M131" s="215">
        <f t="shared" si="42"/>
        <v>7.6812120487822213</v>
      </c>
      <c r="N131" s="41">
        <f t="shared" si="57"/>
        <v>0.32814030519983106</v>
      </c>
      <c r="O131" s="41">
        <f t="shared" si="58"/>
        <v>7.0519729553263293</v>
      </c>
      <c r="P131" s="228">
        <f t="shared" si="59"/>
        <v>142.01371981699481</v>
      </c>
      <c r="Q131" s="41">
        <f t="shared" si="60"/>
        <v>1966.9621731936691</v>
      </c>
      <c r="R131" s="41">
        <f t="shared" si="61"/>
        <v>1252.8153013347985</v>
      </c>
      <c r="S131" s="215">
        <f t="shared" si="43"/>
        <v>0.22263750219256104</v>
      </c>
      <c r="T131" s="215">
        <f t="shared" si="44"/>
        <v>0.42212006126531065</v>
      </c>
      <c r="U131" s="230">
        <f t="shared" si="62"/>
        <v>7.5912120487822214</v>
      </c>
      <c r="V131" s="230">
        <f t="shared" si="45"/>
        <v>7.6212120487822208</v>
      </c>
      <c r="W131" s="41">
        <f t="shared" si="63"/>
        <v>-0.31982546495600417</v>
      </c>
      <c r="X131" s="41">
        <f t="shared" si="64"/>
        <v>1919.367783617236</v>
      </c>
      <c r="Y131" s="41">
        <f t="shared" si="65"/>
        <v>139.80377067833757</v>
      </c>
      <c r="Z131" s="41">
        <f t="shared" si="66"/>
        <v>1249.7208294065099</v>
      </c>
      <c r="AA131" s="230">
        <f t="shared" si="46"/>
        <v>0.21778830479033218</v>
      </c>
      <c r="AB131" s="230">
        <f t="shared" si="67"/>
        <v>-0.40887328445054327</v>
      </c>
      <c r="AC131" s="41">
        <f t="shared" si="68"/>
        <v>0.42212006126531065</v>
      </c>
      <c r="AD131" s="41">
        <f t="shared" si="47"/>
        <v>0.14213965529178874</v>
      </c>
      <c r="AE131" s="41">
        <f t="shared" si="69"/>
        <v>-5.1159276184676071E-3</v>
      </c>
      <c r="AF131" s="41">
        <f t="shared" si="48"/>
        <v>740.20675642656124</v>
      </c>
      <c r="AG131" s="41">
        <f t="shared" si="49"/>
        <v>719.22319596889815</v>
      </c>
      <c r="AH131" s="41">
        <f t="shared" si="70"/>
        <v>7.7117476874414974</v>
      </c>
      <c r="AI131" s="41">
        <f t="shared" si="50"/>
        <v>336.93718524635466</v>
      </c>
      <c r="AJ131" s="41">
        <f t="shared" si="71"/>
        <v>5.6041622815201482</v>
      </c>
      <c r="AK131" s="8">
        <f t="shared" si="74"/>
        <v>16.936016755316114</v>
      </c>
      <c r="AL131" s="42">
        <f t="shared" si="75"/>
        <v>1.5761413544283229</v>
      </c>
      <c r="AZ131" s="8"/>
    </row>
    <row r="132" spans="1:52" x14ac:dyDescent="0.25">
      <c r="A132" s="40"/>
      <c r="B132" s="41">
        <f t="shared" si="51"/>
        <v>740.20675642656124</v>
      </c>
      <c r="C132" s="41">
        <f t="shared" si="51"/>
        <v>719.22319596889815</v>
      </c>
      <c r="D132" s="41">
        <f t="shared" si="51"/>
        <v>7.7117476874414974</v>
      </c>
      <c r="E132" s="41">
        <f t="shared" si="72"/>
        <v>16</v>
      </c>
      <c r="F132" s="41">
        <f t="shared" si="52"/>
        <v>16</v>
      </c>
      <c r="G132" s="41">
        <f t="shared" si="53"/>
        <v>2120.461614502035</v>
      </c>
      <c r="H132" s="25">
        <f t="shared" si="73"/>
        <v>0.06</v>
      </c>
      <c r="I132" s="226">
        <f t="shared" si="54"/>
        <v>16.786848366130471</v>
      </c>
      <c r="J132" s="227">
        <f t="shared" si="76"/>
        <v>80</v>
      </c>
      <c r="K132" s="41">
        <f t="shared" si="55"/>
        <v>1</v>
      </c>
      <c r="L132" s="215">
        <f t="shared" si="56"/>
        <v>7.771747687441497</v>
      </c>
      <c r="M132" s="215">
        <f t="shared" si="42"/>
        <v>7.7417476874414977</v>
      </c>
      <c r="N132" s="41">
        <f t="shared" si="57"/>
        <v>0.33075958202417866</v>
      </c>
      <c r="O132" s="41">
        <f t="shared" si="58"/>
        <v>7.0401064447937998</v>
      </c>
      <c r="P132" s="228">
        <f t="shared" si="59"/>
        <v>143.50577762225998</v>
      </c>
      <c r="Q132" s="41">
        <f t="shared" si="60"/>
        <v>2015.7409185538495</v>
      </c>
      <c r="R132" s="41">
        <f t="shared" si="61"/>
        <v>1254.8446944080988</v>
      </c>
      <c r="S132" s="215">
        <f t="shared" si="43"/>
        <v>0.22817365933947226</v>
      </c>
      <c r="T132" s="215">
        <f t="shared" si="44"/>
        <v>0.42854145369166224</v>
      </c>
      <c r="U132" s="230">
        <f t="shared" si="62"/>
        <v>7.6517476874414978</v>
      </c>
      <c r="V132" s="230">
        <f t="shared" si="45"/>
        <v>7.6817476874414972</v>
      </c>
      <c r="W132" s="41">
        <f t="shared" si="63"/>
        <v>-0.32233282969846044</v>
      </c>
      <c r="X132" s="41">
        <f t="shared" si="64"/>
        <v>1967.3904292528762</v>
      </c>
      <c r="Y132" s="41">
        <f t="shared" si="65"/>
        <v>141.29000384585709</v>
      </c>
      <c r="Z132" s="41">
        <f t="shared" si="66"/>
        <v>1251.8137799157425</v>
      </c>
      <c r="AA132" s="230">
        <f t="shared" si="46"/>
        <v>0.22323978767549899</v>
      </c>
      <c r="AB132" s="230">
        <f t="shared" si="67"/>
        <v>-0.41497082958698456</v>
      </c>
      <c r="AC132" s="41">
        <f t="shared" si="68"/>
        <v>0.42854145369166224</v>
      </c>
      <c r="AD132" s="41">
        <f t="shared" si="47"/>
        <v>0.14000979247895654</v>
      </c>
      <c r="AE132" s="41">
        <f t="shared" si="69"/>
        <v>-5.0075447763495698E-3</v>
      </c>
      <c r="AF132" s="41">
        <f t="shared" si="48"/>
        <v>740.10897455489373</v>
      </c>
      <c r="AG132" s="41">
        <f t="shared" si="49"/>
        <v>718.7946545152065</v>
      </c>
      <c r="AH132" s="41">
        <f t="shared" si="70"/>
        <v>7.7722893962608453</v>
      </c>
      <c r="AI132" s="41">
        <f t="shared" si="50"/>
        <v>341.50955540661721</v>
      </c>
      <c r="AJ132" s="41">
        <f t="shared" si="71"/>
        <v>5.6990260469108751</v>
      </c>
      <c r="AK132" s="8">
        <f t="shared" si="74"/>
        <v>17.643383798444049</v>
      </c>
      <c r="AL132" s="42">
        <f t="shared" si="75"/>
        <v>1.6034621188608522</v>
      </c>
      <c r="AZ132" s="8"/>
    </row>
    <row r="133" spans="1:52" x14ac:dyDescent="0.25">
      <c r="A133" s="40"/>
      <c r="B133" s="41">
        <f t="shared" si="51"/>
        <v>740.10897455489373</v>
      </c>
      <c r="C133" s="41">
        <f t="shared" si="51"/>
        <v>718.7946545152065</v>
      </c>
      <c r="D133" s="41">
        <f t="shared" si="51"/>
        <v>7.7722893962608453</v>
      </c>
      <c r="E133" s="41">
        <f t="shared" si="72"/>
        <v>16</v>
      </c>
      <c r="F133" s="41">
        <f t="shared" si="52"/>
        <v>16</v>
      </c>
      <c r="G133" s="41">
        <f t="shared" si="53"/>
        <v>2170.4051956694543</v>
      </c>
      <c r="H133" s="25">
        <f t="shared" si="73"/>
        <v>0.06</v>
      </c>
      <c r="I133" s="226">
        <f t="shared" si="54"/>
        <v>17.051456031749787</v>
      </c>
      <c r="J133" s="227">
        <f t="shared" si="76"/>
        <v>80</v>
      </c>
      <c r="K133" s="41">
        <f t="shared" si="55"/>
        <v>1</v>
      </c>
      <c r="L133" s="215">
        <f t="shared" si="56"/>
        <v>7.8322893962608449</v>
      </c>
      <c r="M133" s="215">
        <f t="shared" si="42"/>
        <v>7.8022893962608446</v>
      </c>
      <c r="N133" s="41">
        <f t="shared" si="57"/>
        <v>0.33337956253486567</v>
      </c>
      <c r="O133" s="41">
        <f t="shared" si="58"/>
        <v>7.0277598537979156</v>
      </c>
      <c r="P133" s="228">
        <f t="shared" si="59"/>
        <v>145.00188006337288</v>
      </c>
      <c r="Q133" s="41">
        <f t="shared" si="60"/>
        <v>2065.2935058817234</v>
      </c>
      <c r="R133" s="41">
        <f t="shared" si="61"/>
        <v>1256.8330712054294</v>
      </c>
      <c r="S133" s="215">
        <f t="shared" si="43"/>
        <v>0.23382302075521011</v>
      </c>
      <c r="T133" s="215">
        <f t="shared" si="44"/>
        <v>0.43512082921555972</v>
      </c>
      <c r="U133" s="230">
        <f t="shared" si="62"/>
        <v>7.7122893962608456</v>
      </c>
      <c r="V133" s="230">
        <f t="shared" si="45"/>
        <v>7.7422893962608459</v>
      </c>
      <c r="W133" s="41">
        <f t="shared" si="63"/>
        <v>-0.3248400048242317</v>
      </c>
      <c r="X133" s="41">
        <f t="shared" si="64"/>
        <v>2016.1808815278659</v>
      </c>
      <c r="Y133" s="41">
        <f t="shared" si="65"/>
        <v>142.78031144166727</v>
      </c>
      <c r="Z133" s="41">
        <f t="shared" si="66"/>
        <v>1253.8638526210516</v>
      </c>
      <c r="AA133" s="230">
        <f t="shared" si="46"/>
        <v>0.22880325424131301</v>
      </c>
      <c r="AB133" s="230">
        <f t="shared" si="67"/>
        <v>-0.42121547660922892</v>
      </c>
      <c r="AC133" s="41">
        <f t="shared" si="68"/>
        <v>0.43512082921555972</v>
      </c>
      <c r="AD133" s="41">
        <f t="shared" si="47"/>
        <v>0.13789273225133489</v>
      </c>
      <c r="AE133" s="41">
        <f t="shared" si="69"/>
        <v>-4.9025186569344971E-3</v>
      </c>
      <c r="AF133" s="41">
        <f t="shared" si="48"/>
        <v>740.007233288213</v>
      </c>
      <c r="AG133" s="41">
        <f t="shared" si="49"/>
        <v>718.35953368599098</v>
      </c>
      <c r="AH133" s="41">
        <f t="shared" si="70"/>
        <v>7.832837161795724</v>
      </c>
      <c r="AI133" s="41">
        <f t="shared" si="50"/>
        <v>346.20415326773275</v>
      </c>
      <c r="AJ133" s="41">
        <f t="shared" si="71"/>
        <v>5.7951938672630234</v>
      </c>
      <c r="AK133" s="8">
        <f t="shared" si="74"/>
        <v>18.377496416229455</v>
      </c>
      <c r="AL133" s="42">
        <f t="shared" si="75"/>
        <v>1.6311584511222708</v>
      </c>
      <c r="AZ133" s="8"/>
    </row>
    <row r="134" spans="1:52" x14ac:dyDescent="0.25">
      <c r="A134" s="40"/>
      <c r="B134" s="41">
        <f t="shared" si="51"/>
        <v>740.007233288213</v>
      </c>
      <c r="C134" s="41">
        <f t="shared" si="51"/>
        <v>718.35953368599098</v>
      </c>
      <c r="D134" s="41">
        <f t="shared" si="51"/>
        <v>7.832837161795724</v>
      </c>
      <c r="E134" s="41">
        <f t="shared" si="72"/>
        <v>16</v>
      </c>
      <c r="F134" s="41">
        <f t="shared" si="52"/>
        <v>16</v>
      </c>
      <c r="G134" s="41">
        <f t="shared" si="53"/>
        <v>2221.1320050123568</v>
      </c>
      <c r="H134" s="25">
        <f t="shared" si="73"/>
        <v>0.06</v>
      </c>
      <c r="I134" s="226">
        <f t="shared" si="54"/>
        <v>17.318159681777615</v>
      </c>
      <c r="J134" s="227">
        <f t="shared" si="76"/>
        <v>80</v>
      </c>
      <c r="K134" s="41">
        <f t="shared" si="55"/>
        <v>1</v>
      </c>
      <c r="L134" s="215">
        <f t="shared" si="56"/>
        <v>7.8928371617957236</v>
      </c>
      <c r="M134" s="215">
        <f t="shared" si="42"/>
        <v>7.8628371617957242</v>
      </c>
      <c r="N134" s="41">
        <f t="shared" si="57"/>
        <v>0.3360002462825733</v>
      </c>
      <c r="O134" s="41">
        <f t="shared" si="58"/>
        <v>7.0149133231916956</v>
      </c>
      <c r="P134" s="228">
        <f t="shared" si="59"/>
        <v>146.50200785669543</v>
      </c>
      <c r="Q134" s="41">
        <f t="shared" si="60"/>
        <v>2115.6261697428913</v>
      </c>
      <c r="R134" s="41">
        <f t="shared" si="61"/>
        <v>1258.7816168506452</v>
      </c>
      <c r="S134" s="215">
        <f t="shared" si="43"/>
        <v>0.23958864390473436</v>
      </c>
      <c r="T134" s="215">
        <f t="shared" si="44"/>
        <v>0.44186642346840305</v>
      </c>
      <c r="U134" s="230">
        <f t="shared" si="62"/>
        <v>7.7728371617957244</v>
      </c>
      <c r="V134" s="230">
        <f t="shared" si="45"/>
        <v>7.8028371617957237</v>
      </c>
      <c r="W134" s="41">
        <f t="shared" si="63"/>
        <v>-0.32734698964404174</v>
      </c>
      <c r="X134" s="41">
        <f t="shared" si="64"/>
        <v>2065.7453733863708</v>
      </c>
      <c r="Y134" s="41">
        <f t="shared" si="65"/>
        <v>144.27467379927683</v>
      </c>
      <c r="Z134" s="41">
        <f t="shared" si="66"/>
        <v>1255.8723033853817</v>
      </c>
      <c r="AA134" s="230">
        <f t="shared" si="46"/>
        <v>0.23448172304665682</v>
      </c>
      <c r="AB134" s="230">
        <f t="shared" si="67"/>
        <v>-0.42761485845489866</v>
      </c>
      <c r="AC134" s="41">
        <f t="shared" si="68"/>
        <v>0.44186642346840305</v>
      </c>
      <c r="AD134" s="41">
        <f t="shared" si="47"/>
        <v>0.1357876426297199</v>
      </c>
      <c r="AE134" s="41">
        <f t="shared" si="69"/>
        <v>-4.8007302618652556E-3</v>
      </c>
      <c r="AF134" s="41">
        <f t="shared" si="48"/>
        <v>739.90136711102718</v>
      </c>
      <c r="AG134" s="41">
        <f t="shared" si="49"/>
        <v>717.91766726252263</v>
      </c>
      <c r="AH134" s="41">
        <f t="shared" si="70"/>
        <v>7.8933909709194854</v>
      </c>
      <c r="AI134" s="41">
        <f t="shared" si="50"/>
        <v>351.02707058426216</v>
      </c>
      <c r="AJ134" s="41">
        <f t="shared" si="71"/>
        <v>5.8927013868697626</v>
      </c>
      <c r="AK134" s="8">
        <f t="shared" si="74"/>
        <v>19.139367394046165</v>
      </c>
      <c r="AL134" s="42">
        <f t="shared" si="75"/>
        <v>1.6592406167690117</v>
      </c>
      <c r="AZ134" s="8"/>
    </row>
    <row r="135" spans="1:52" x14ac:dyDescent="0.25">
      <c r="A135" s="40"/>
      <c r="B135" s="41">
        <f t="shared" si="51"/>
        <v>739.90136711102718</v>
      </c>
      <c r="C135" s="41">
        <f t="shared" si="51"/>
        <v>717.91766726252263</v>
      </c>
      <c r="D135" s="41">
        <f t="shared" si="51"/>
        <v>7.8933909709194854</v>
      </c>
      <c r="E135" s="41">
        <f t="shared" si="72"/>
        <v>16</v>
      </c>
      <c r="F135" s="41">
        <f t="shared" si="52"/>
        <v>16</v>
      </c>
      <c r="G135" s="41">
        <f t="shared" si="53"/>
        <v>2272.6482821851805</v>
      </c>
      <c r="H135" s="25">
        <f t="shared" si="73"/>
        <v>0.06</v>
      </c>
      <c r="I135" s="226">
        <f t="shared" si="54"/>
        <v>17.586959878803647</v>
      </c>
      <c r="J135" s="227">
        <f t="shared" si="76"/>
        <v>80</v>
      </c>
      <c r="K135" s="41">
        <f t="shared" si="55"/>
        <v>1</v>
      </c>
      <c r="L135" s="215">
        <f t="shared" si="56"/>
        <v>7.953390970919485</v>
      </c>
      <c r="M135" s="215">
        <f t="shared" si="42"/>
        <v>7.9233909709194847</v>
      </c>
      <c r="N135" s="41">
        <f t="shared" si="57"/>
        <v>0.33862163283139779</v>
      </c>
      <c r="O135" s="41">
        <f t="shared" si="58"/>
        <v>7.0015459538856994</v>
      </c>
      <c r="P135" s="228">
        <f t="shared" si="59"/>
        <v>148.00614196917093</v>
      </c>
      <c r="Q135" s="41">
        <f t="shared" si="60"/>
        <v>2166.7451479182364</v>
      </c>
      <c r="R135" s="41">
        <f t="shared" si="61"/>
        <v>1260.6914720028033</v>
      </c>
      <c r="S135" s="215">
        <f t="shared" si="43"/>
        <v>0.24547375953335226</v>
      </c>
      <c r="T135" s="215">
        <f t="shared" si="44"/>
        <v>0.448787086081953</v>
      </c>
      <c r="U135" s="230">
        <f t="shared" si="62"/>
        <v>7.8333909709194858</v>
      </c>
      <c r="V135" s="230">
        <f t="shared" si="45"/>
        <v>7.863390970919486</v>
      </c>
      <c r="W135" s="41">
        <f t="shared" si="63"/>
        <v>-0.32985378348213601</v>
      </c>
      <c r="X135" s="41">
        <f t="shared" si="64"/>
        <v>2116.0901409888802</v>
      </c>
      <c r="Y135" s="41">
        <f t="shared" si="65"/>
        <v>145.77307151057019</v>
      </c>
      <c r="Z135" s="41">
        <f t="shared" si="66"/>
        <v>1257.840340308343</v>
      </c>
      <c r="AA135" s="230">
        <f t="shared" si="46"/>
        <v>0.24027838336409704</v>
      </c>
      <c r="AB135" s="230">
        <f t="shared" si="67"/>
        <v>-0.43417717261060723</v>
      </c>
      <c r="AC135" s="41">
        <f t="shared" si="68"/>
        <v>0.448787086081953</v>
      </c>
      <c r="AD135" s="41">
        <f t="shared" si="47"/>
        <v>0.13369368651807284</v>
      </c>
      <c r="AE135" s="41">
        <f t="shared" si="69"/>
        <v>-4.7020667166161809E-3</v>
      </c>
      <c r="AF135" s="41">
        <f t="shared" si="48"/>
        <v>739.79120165777658</v>
      </c>
      <c r="AG135" s="41">
        <f t="shared" si="49"/>
        <v>717.46888017644062</v>
      </c>
      <c r="AH135" s="41">
        <f t="shared" si="70"/>
        <v>7.9539508108137458</v>
      </c>
      <c r="AI135" s="41">
        <f t="shared" si="50"/>
        <v>355.98486707376969</v>
      </c>
      <c r="AJ135" s="41">
        <f t="shared" si="71"/>
        <v>5.9915860721680323</v>
      </c>
      <c r="AK135" s="8">
        <f t="shared" si="74"/>
        <v>19.930056775603784</v>
      </c>
      <c r="AL135" s="42">
        <f t="shared" si="75"/>
        <v>1.6877194061349132</v>
      </c>
      <c r="AZ135" s="8"/>
    </row>
    <row r="136" spans="1:52" x14ac:dyDescent="0.25">
      <c r="A136" s="40"/>
      <c r="B136" s="41">
        <f t="shared" si="51"/>
        <v>739.79120165777658</v>
      </c>
      <c r="C136" s="41">
        <f t="shared" si="51"/>
        <v>717.46888017644062</v>
      </c>
      <c r="D136" s="41">
        <f t="shared" si="51"/>
        <v>7.9539508108137458</v>
      </c>
      <c r="E136" s="41">
        <f t="shared" si="72"/>
        <v>16</v>
      </c>
      <c r="F136" s="41">
        <f t="shared" si="52"/>
        <v>16</v>
      </c>
      <c r="G136" s="41">
        <f t="shared" si="53"/>
        <v>2324.9602700575006</v>
      </c>
      <c r="H136" s="25">
        <f t="shared" si="73"/>
        <v>0.06</v>
      </c>
      <c r="I136" s="226">
        <f t="shared" si="54"/>
        <v>17.85785718506877</v>
      </c>
      <c r="J136" s="227">
        <f t="shared" si="76"/>
        <v>80</v>
      </c>
      <c r="K136" s="41">
        <f t="shared" si="55"/>
        <v>1</v>
      </c>
      <c r="L136" s="215">
        <f t="shared" si="56"/>
        <v>8.0139508108137463</v>
      </c>
      <c r="M136" s="215">
        <f t="shared" si="42"/>
        <v>7.983950810813746</v>
      </c>
      <c r="N136" s="41">
        <f t="shared" si="57"/>
        <v>0.34124372175843121</v>
      </c>
      <c r="O136" s="41">
        <f t="shared" si="58"/>
        <v>6.9876357293219238</v>
      </c>
      <c r="P136" s="228">
        <f t="shared" si="59"/>
        <v>149.51426361322547</v>
      </c>
      <c r="Q136" s="41">
        <f t="shared" si="60"/>
        <v>2218.6566814037315</v>
      </c>
      <c r="R136" s="41">
        <f t="shared" si="61"/>
        <v>1262.5637349041144</v>
      </c>
      <c r="S136" s="215">
        <f t="shared" si="43"/>
        <v>0.25148178623627632</v>
      </c>
      <c r="T136" s="215">
        <f t="shared" si="44"/>
        <v>0.45589234234204995</v>
      </c>
      <c r="U136" s="230">
        <f t="shared" si="62"/>
        <v>7.8939508108137462</v>
      </c>
      <c r="V136" s="230">
        <f t="shared" si="45"/>
        <v>7.9239508108137464</v>
      </c>
      <c r="W136" s="41">
        <f t="shared" si="63"/>
        <v>-0.33236038567586945</v>
      </c>
      <c r="X136" s="41">
        <f t="shared" si="64"/>
        <v>2167.2214237119729</v>
      </c>
      <c r="Y136" s="41">
        <f t="shared" si="65"/>
        <v>147.27548542049198</v>
      </c>
      <c r="Z136" s="41">
        <f t="shared" si="66"/>
        <v>1259.7691259560947</v>
      </c>
      <c r="AA136" s="230">
        <f t="shared" si="46"/>
        <v>0.24619660953347419</v>
      </c>
      <c r="AB136" s="230">
        <f t="shared" si="67"/>
        <v>-0.44091123743841615</v>
      </c>
      <c r="AC136" s="41">
        <f t="shared" si="68"/>
        <v>0.45589234234204995</v>
      </c>
      <c r="AD136" s="41">
        <f t="shared" si="47"/>
        <v>0.13161001935624267</v>
      </c>
      <c r="AE136" s="41">
        <f t="shared" si="69"/>
        <v>-4.6064210069638135E-3</v>
      </c>
      <c r="AF136" s="41">
        <f t="shared" si="48"/>
        <v>739.676553037193</v>
      </c>
      <c r="AG136" s="41">
        <f t="shared" si="49"/>
        <v>717.01298783409857</v>
      </c>
      <c r="AH136" s="41">
        <f t="shared" si="70"/>
        <v>8.0145166689591427</v>
      </c>
      <c r="AI136" s="41">
        <f t="shared" si="50"/>
        <v>361.08461675138545</v>
      </c>
      <c r="AJ136" s="41">
        <f t="shared" si="71"/>
        <v>6.0918873545989731</v>
      </c>
      <c r="AK136" s="8">
        <f t="shared" si="74"/>
        <v>20.750675109587316</v>
      </c>
      <c r="AL136" s="42">
        <f t="shared" si="75"/>
        <v>1.7166061754750241</v>
      </c>
      <c r="AZ136" s="8"/>
    </row>
    <row r="137" spans="1:52" x14ac:dyDescent="0.25">
      <c r="A137" s="40"/>
      <c r="B137" s="41">
        <f t="shared" si="51"/>
        <v>739.676553037193</v>
      </c>
      <c r="C137" s="41">
        <f t="shared" si="51"/>
        <v>717.01298783409857</v>
      </c>
      <c r="D137" s="41">
        <f t="shared" si="51"/>
        <v>8.0145166689591427</v>
      </c>
      <c r="E137" s="41">
        <f t="shared" si="72"/>
        <v>16</v>
      </c>
      <c r="F137" s="41">
        <f t="shared" si="52"/>
        <v>16</v>
      </c>
      <c r="G137" s="41">
        <f t="shared" si="53"/>
        <v>2360.5025556538471</v>
      </c>
      <c r="H137" s="25">
        <f t="shared" si="73"/>
        <v>0.04</v>
      </c>
      <c r="I137" s="226">
        <f t="shared" si="54"/>
        <v>18.130852162475549</v>
      </c>
      <c r="J137" s="227">
        <f t="shared" si="76"/>
        <v>80</v>
      </c>
      <c r="K137" s="41">
        <f t="shared" si="55"/>
        <v>1</v>
      </c>
      <c r="L137" s="215">
        <f t="shared" si="56"/>
        <v>8.0545166689591419</v>
      </c>
      <c r="M137" s="215">
        <f t="shared" si="42"/>
        <v>8.0345166689591423</v>
      </c>
      <c r="N137" s="41">
        <f t="shared" si="57"/>
        <v>0.23039142798979384</v>
      </c>
      <c r="O137" s="41">
        <f t="shared" si="58"/>
        <v>6.9731594301629034</v>
      </c>
      <c r="P137" s="228">
        <f t="shared" si="59"/>
        <v>150.65111110086332</v>
      </c>
      <c r="Q137" s="41">
        <f t="shared" si="60"/>
        <v>2262.6090788683427</v>
      </c>
      <c r="R137" s="41">
        <f t="shared" si="61"/>
        <v>1263.9477035199216</v>
      </c>
      <c r="S137" s="215">
        <f t="shared" si="43"/>
        <v>0.25671475174419689</v>
      </c>
      <c r="T137" s="215">
        <f t="shared" si="44"/>
        <v>0.30996367616662851</v>
      </c>
      <c r="U137" s="230">
        <f t="shared" si="62"/>
        <v>7.9745166689591427</v>
      </c>
      <c r="V137" s="230">
        <f t="shared" si="45"/>
        <v>7.9945166689591431</v>
      </c>
      <c r="W137" s="41">
        <f t="shared" si="63"/>
        <v>-0.22209744416262822</v>
      </c>
      <c r="X137" s="41">
        <f t="shared" si="64"/>
        <v>2227.7948023607705</v>
      </c>
      <c r="Y137" s="41">
        <f t="shared" si="65"/>
        <v>149.1548060209106</v>
      </c>
      <c r="Z137" s="41">
        <f t="shared" si="66"/>
        <v>1262.121285673504</v>
      </c>
      <c r="AA137" s="230">
        <f t="shared" si="46"/>
        <v>0.25313051366382233</v>
      </c>
      <c r="AB137" s="230">
        <f t="shared" si="67"/>
        <v>-0.29737115818205845</v>
      </c>
      <c r="AC137" s="41">
        <f t="shared" si="68"/>
        <v>0.30996367616662851</v>
      </c>
      <c r="AD137" s="41">
        <f t="shared" si="47"/>
        <v>0.12904737901771765</v>
      </c>
      <c r="AE137" s="41">
        <f t="shared" si="69"/>
        <v>-6.6922248479946607E-3</v>
      </c>
      <c r="AF137" s="41">
        <f t="shared" si="48"/>
        <v>739.59698078901613</v>
      </c>
      <c r="AG137" s="41">
        <f t="shared" si="49"/>
        <v>716.70302415793196</v>
      </c>
      <c r="AH137" s="41">
        <f t="shared" si="70"/>
        <v>8.0551503233857087</v>
      </c>
      <c r="AI137" s="41">
        <f t="shared" si="50"/>
        <v>245.23457363261312</v>
      </c>
      <c r="AJ137" s="41">
        <f t="shared" si="71"/>
        <v>6.1600080694969215</v>
      </c>
      <c r="AK137" s="8">
        <f t="shared" si="74"/>
        <v>21.320835750127632</v>
      </c>
      <c r="AL137" s="42">
        <f t="shared" si="75"/>
        <v>1.7362249413656332</v>
      </c>
      <c r="AZ137" s="8"/>
    </row>
    <row r="138" spans="1:52" x14ac:dyDescent="0.25">
      <c r="A138" s="40"/>
      <c r="B138" s="41">
        <f t="shared" si="51"/>
        <v>739.59698078901613</v>
      </c>
      <c r="C138" s="41">
        <f t="shared" si="51"/>
        <v>716.70302415793196</v>
      </c>
      <c r="D138" s="41">
        <f t="shared" si="51"/>
        <v>8.0551503233857087</v>
      </c>
      <c r="E138" s="41">
        <f t="shared" si="72"/>
        <v>16</v>
      </c>
      <c r="F138" s="41">
        <f t="shared" si="52"/>
        <v>16</v>
      </c>
      <c r="G138" s="41">
        <f t="shared" si="53"/>
        <v>2396.4085352017009</v>
      </c>
      <c r="H138" s="25">
        <f t="shared" si="73"/>
        <v>0.04</v>
      </c>
      <c r="I138" s="226">
        <f t="shared" si="54"/>
        <v>18.315165304867332</v>
      </c>
      <c r="J138" s="227">
        <f t="shared" si="76"/>
        <v>80</v>
      </c>
      <c r="K138" s="41">
        <f t="shared" si="55"/>
        <v>1</v>
      </c>
      <c r="L138" s="215">
        <f t="shared" si="56"/>
        <v>8.0951503233857078</v>
      </c>
      <c r="M138" s="215">
        <f t="shared" si="42"/>
        <v>8.0751503233857083</v>
      </c>
      <c r="N138" s="41">
        <f t="shared" si="57"/>
        <v>0.23157777626977349</v>
      </c>
      <c r="O138" s="41">
        <f t="shared" si="58"/>
        <v>6.9631121076264364</v>
      </c>
      <c r="P138" s="228">
        <f t="shared" si="59"/>
        <v>151.66707591588184</v>
      </c>
      <c r="Q138" s="41">
        <f t="shared" si="60"/>
        <v>2298.3315708229707</v>
      </c>
      <c r="R138" s="41">
        <f t="shared" si="61"/>
        <v>1265.165131491118</v>
      </c>
      <c r="S138" s="215">
        <f t="shared" si="43"/>
        <v>0.26089279243833713</v>
      </c>
      <c r="T138" s="215">
        <f t="shared" si="44"/>
        <v>0.31332095520182462</v>
      </c>
      <c r="U138" s="230">
        <f t="shared" si="62"/>
        <v>8.0151503233857095</v>
      </c>
      <c r="V138" s="230">
        <f t="shared" si="45"/>
        <v>8.0351503233857091</v>
      </c>
      <c r="W138" s="41">
        <f t="shared" si="63"/>
        <v>-0.22320521756490308</v>
      </c>
      <c r="X138" s="41">
        <f t="shared" si="64"/>
        <v>2263.1633829092521</v>
      </c>
      <c r="Y138" s="41">
        <f t="shared" si="65"/>
        <v>150.16824128527801</v>
      </c>
      <c r="Z138" s="41">
        <f t="shared" si="66"/>
        <v>1263.3626994762683</v>
      </c>
      <c r="AA138" s="230">
        <f t="shared" si="46"/>
        <v>0.25726722973261124</v>
      </c>
      <c r="AB138" s="230">
        <f t="shared" si="67"/>
        <v>-0.30051887637130609</v>
      </c>
      <c r="AC138" s="41">
        <f t="shared" si="68"/>
        <v>0.31332095520182462</v>
      </c>
      <c r="AD138" s="41">
        <f t="shared" si="47"/>
        <v>0.12766461781732452</v>
      </c>
      <c r="AE138" s="41">
        <f t="shared" si="69"/>
        <v>-4.4370136236383893E-3</v>
      </c>
      <c r="AF138" s="41">
        <f t="shared" si="48"/>
        <v>739.51523761008411</v>
      </c>
      <c r="AG138" s="41">
        <f t="shared" si="49"/>
        <v>716.38970320273017</v>
      </c>
      <c r="AH138" s="41">
        <f t="shared" si="70"/>
        <v>8.0957876914229061</v>
      </c>
      <c r="AI138" s="41">
        <f t="shared" si="50"/>
        <v>247.65222136065822</v>
      </c>
      <c r="AJ138" s="41">
        <f t="shared" si="71"/>
        <v>6.2288003532082152</v>
      </c>
      <c r="AK138" s="8">
        <f t="shared" si="74"/>
        <v>21.905419451562818</v>
      </c>
      <c r="AL138" s="42">
        <f t="shared" si="75"/>
        <v>1.7560371190744859</v>
      </c>
      <c r="AZ138" s="8"/>
    </row>
    <row r="139" spans="1:52" x14ac:dyDescent="0.25">
      <c r="A139" s="40"/>
      <c r="B139" s="41">
        <f t="shared" si="51"/>
        <v>739.51523761008411</v>
      </c>
      <c r="C139" s="41">
        <f t="shared" si="51"/>
        <v>716.38970320273017</v>
      </c>
      <c r="D139" s="41">
        <f t="shared" si="51"/>
        <v>8.0957876914229061</v>
      </c>
      <c r="E139" s="41">
        <f t="shared" si="72"/>
        <v>16</v>
      </c>
      <c r="F139" s="41">
        <f t="shared" si="52"/>
        <v>16</v>
      </c>
      <c r="G139" s="41">
        <f t="shared" si="53"/>
        <v>2432.6801243353743</v>
      </c>
      <c r="H139" s="25">
        <f t="shared" si="73"/>
        <v>0.04</v>
      </c>
      <c r="I139" s="226">
        <f t="shared" si="54"/>
        <v>18.500427525883151</v>
      </c>
      <c r="J139" s="227">
        <f t="shared" si="76"/>
        <v>80</v>
      </c>
      <c r="K139" s="41">
        <f t="shared" si="55"/>
        <v>1</v>
      </c>
      <c r="L139" s="215">
        <f t="shared" si="56"/>
        <v>8.1357876914229053</v>
      </c>
      <c r="M139" s="215">
        <f t="shared" si="42"/>
        <v>8.1157876914229057</v>
      </c>
      <c r="N139" s="41">
        <f t="shared" si="57"/>
        <v>0.232764431684231</v>
      </c>
      <c r="O139" s="41">
        <f t="shared" si="58"/>
        <v>6.9527906688999543</v>
      </c>
      <c r="P139" s="228">
        <f t="shared" si="59"/>
        <v>152.68484066023109</v>
      </c>
      <c r="Q139" s="41">
        <f t="shared" si="60"/>
        <v>2334.418698951833</v>
      </c>
      <c r="R139" s="41">
        <f t="shared" si="61"/>
        <v>1266.3667949158059</v>
      </c>
      <c r="S139" s="215">
        <f t="shared" si="43"/>
        <v>0.26513074048739493</v>
      </c>
      <c r="T139" s="215">
        <f t="shared" si="44"/>
        <v>0.3167426432269187</v>
      </c>
      <c r="U139" s="230">
        <f t="shared" si="62"/>
        <v>8.055787691422907</v>
      </c>
      <c r="V139" s="230">
        <f t="shared" si="45"/>
        <v>8.0757876914229065</v>
      </c>
      <c r="W139" s="41">
        <f t="shared" si="63"/>
        <v>-0.22431289349814421</v>
      </c>
      <c r="X139" s="41">
        <f t="shared" si="64"/>
        <v>2298.8947772456445</v>
      </c>
      <c r="Y139" s="41">
        <f t="shared" si="65"/>
        <v>151.18348473300037</v>
      </c>
      <c r="Z139" s="41">
        <f t="shared" si="66"/>
        <v>1264.5878989749335</v>
      </c>
      <c r="AA139" s="230">
        <f t="shared" si="46"/>
        <v>0.26146340816356534</v>
      </c>
      <c r="AB139" s="230">
        <f t="shared" si="67"/>
        <v>-0.30372617413630237</v>
      </c>
      <c r="AC139" s="41">
        <f t="shared" si="68"/>
        <v>0.3167426432269187</v>
      </c>
      <c r="AD139" s="41">
        <f t="shared" si="47"/>
        <v>0.12628549030369574</v>
      </c>
      <c r="AE139" s="41">
        <f t="shared" si="69"/>
        <v>-4.3777406505250051E-3</v>
      </c>
      <c r="AF139" s="41">
        <f t="shared" si="48"/>
        <v>739.43125939854144</v>
      </c>
      <c r="AG139" s="41">
        <f t="shared" si="49"/>
        <v>716.07296055950326</v>
      </c>
      <c r="AH139" s="41">
        <f t="shared" si="70"/>
        <v>8.1364287709201637</v>
      </c>
      <c r="AI139" s="41">
        <f t="shared" si="50"/>
        <v>250.11919492723058</v>
      </c>
      <c r="AJ139" s="41">
        <f t="shared" si="71"/>
        <v>6.2982779073546684</v>
      </c>
      <c r="AK139" s="8">
        <f t="shared" si="74"/>
        <v>22.504807225104212</v>
      </c>
      <c r="AL139" s="42">
        <f t="shared" si="75"/>
        <v>1.7760466546686644</v>
      </c>
      <c r="AZ139" s="8"/>
    </row>
    <row r="140" spans="1:52" x14ac:dyDescent="0.25">
      <c r="A140" s="40"/>
      <c r="B140" s="41">
        <f t="shared" si="51"/>
        <v>739.43125939854144</v>
      </c>
      <c r="C140" s="41">
        <f t="shared" si="51"/>
        <v>716.07296055950326</v>
      </c>
      <c r="D140" s="41">
        <f t="shared" si="51"/>
        <v>8.1364287709201637</v>
      </c>
      <c r="E140" s="41">
        <f t="shared" si="72"/>
        <v>16</v>
      </c>
      <c r="F140" s="41">
        <f t="shared" si="52"/>
        <v>16</v>
      </c>
      <c r="G140" s="41">
        <f t="shared" si="53"/>
        <v>2469.3192396509598</v>
      </c>
      <c r="H140" s="25">
        <f t="shared" si="73"/>
        <v>0.04</v>
      </c>
      <c r="I140" s="226">
        <f t="shared" si="54"/>
        <v>18.686639071230548</v>
      </c>
      <c r="J140" s="227">
        <f t="shared" si="76"/>
        <v>80</v>
      </c>
      <c r="K140" s="41">
        <f t="shared" si="55"/>
        <v>1</v>
      </c>
      <c r="L140" s="215">
        <f t="shared" si="56"/>
        <v>8.1764287709201628</v>
      </c>
      <c r="M140" s="215">
        <f t="shared" si="42"/>
        <v>8.1564287709201633</v>
      </c>
      <c r="N140" s="41">
        <f t="shared" si="57"/>
        <v>0.23395139422480327</v>
      </c>
      <c r="O140" s="41">
        <f t="shared" si="58"/>
        <v>6.9421870200558331</v>
      </c>
      <c r="P140" s="228">
        <f t="shared" si="59"/>
        <v>153.70440005620782</v>
      </c>
      <c r="Q140" s="41">
        <f t="shared" si="60"/>
        <v>2370.8723792884239</v>
      </c>
      <c r="R140" s="41">
        <f t="shared" si="61"/>
        <v>1267.5529864037017</v>
      </c>
      <c r="S140" s="215">
        <f t="shared" si="43"/>
        <v>0.26942987219578424</v>
      </c>
      <c r="T140" s="215">
        <f t="shared" si="44"/>
        <v>0.32023126229916082</v>
      </c>
      <c r="U140" s="230">
        <f t="shared" si="62"/>
        <v>8.0964287709201646</v>
      </c>
      <c r="V140" s="230">
        <f t="shared" si="45"/>
        <v>8.1164287709201641</v>
      </c>
      <c r="W140" s="41">
        <f t="shared" si="63"/>
        <v>-0.22542047184934688</v>
      </c>
      <c r="X140" s="41">
        <f t="shared" si="64"/>
        <v>2334.9909009316398</v>
      </c>
      <c r="Y140" s="41">
        <f t="shared" si="65"/>
        <v>152.20053101798001</v>
      </c>
      <c r="Z140" s="41">
        <f t="shared" si="66"/>
        <v>1265.7971877484358</v>
      </c>
      <c r="AA140" s="230">
        <f t="shared" si="46"/>
        <v>0.26572031392058348</v>
      </c>
      <c r="AB140" s="230">
        <f t="shared" si="67"/>
        <v>-0.3069953808104755</v>
      </c>
      <c r="AC140" s="41">
        <f t="shared" si="68"/>
        <v>0.32023126229916082</v>
      </c>
      <c r="AD140" s="41">
        <f t="shared" si="47"/>
        <v>0.12490972840319352</v>
      </c>
      <c r="AE140" s="41">
        <f t="shared" si="69"/>
        <v>-4.3196805663992463E-3</v>
      </c>
      <c r="AF140" s="41">
        <f t="shared" si="48"/>
        <v>739.34497953046707</v>
      </c>
      <c r="AG140" s="41">
        <f t="shared" si="49"/>
        <v>715.75272929720404</v>
      </c>
      <c r="AH140" s="41">
        <f t="shared" si="70"/>
        <v>8.1770735597631763</v>
      </c>
      <c r="AI140" s="41">
        <f t="shared" si="50"/>
        <v>252.63737747778117</v>
      </c>
      <c r="AJ140" s="41">
        <f t="shared" si="71"/>
        <v>6.3684549566540518</v>
      </c>
      <c r="AK140" s="8">
        <f t="shared" si="74"/>
        <v>23.119393151958622</v>
      </c>
      <c r="AL140" s="42">
        <f t="shared" si="75"/>
        <v>1.796257644866887</v>
      </c>
      <c r="AZ140" s="8"/>
    </row>
    <row r="141" spans="1:52" x14ac:dyDescent="0.25">
      <c r="A141" s="40"/>
      <c r="B141" s="41">
        <f t="shared" si="51"/>
        <v>739.34497953046707</v>
      </c>
      <c r="C141" s="41">
        <f t="shared" si="51"/>
        <v>715.75272929720404</v>
      </c>
      <c r="D141" s="41">
        <f t="shared" si="51"/>
        <v>8.1770735597631763</v>
      </c>
      <c r="E141" s="41">
        <f t="shared" si="72"/>
        <v>16</v>
      </c>
      <c r="F141" s="41">
        <f t="shared" si="52"/>
        <v>16</v>
      </c>
      <c r="G141" s="41">
        <f t="shared" si="53"/>
        <v>2506.3277987066176</v>
      </c>
      <c r="H141" s="25">
        <f t="shared" si="73"/>
        <v>0.04</v>
      </c>
      <c r="I141" s="226">
        <f t="shared" si="54"/>
        <v>18.873800186610424</v>
      </c>
      <c r="J141" s="227">
        <f t="shared" si="76"/>
        <v>80</v>
      </c>
      <c r="K141" s="41">
        <f t="shared" si="55"/>
        <v>1</v>
      </c>
      <c r="L141" s="215">
        <f t="shared" si="56"/>
        <v>8.2170735597631754</v>
      </c>
      <c r="M141" s="215">
        <f t="shared" si="42"/>
        <v>8.1970735597631759</v>
      </c>
      <c r="N141" s="41">
        <f t="shared" si="57"/>
        <v>0.23513866388422855</v>
      </c>
      <c r="O141" s="41">
        <f t="shared" si="58"/>
        <v>6.9312927487136422</v>
      </c>
      <c r="P141" s="228">
        <f t="shared" si="59"/>
        <v>154.72574887082695</v>
      </c>
      <c r="Q141" s="41">
        <f t="shared" si="60"/>
        <v>2407.6945288281436</v>
      </c>
      <c r="R141" s="41">
        <f t="shared" si="61"/>
        <v>1268.7239914915717</v>
      </c>
      <c r="S141" s="215">
        <f t="shared" si="43"/>
        <v>0.27379151912623217</v>
      </c>
      <c r="T141" s="215">
        <f t="shared" si="44"/>
        <v>0.32378947654441009</v>
      </c>
      <c r="U141" s="230">
        <f t="shared" si="62"/>
        <v>8.1370735597631771</v>
      </c>
      <c r="V141" s="230">
        <f t="shared" si="45"/>
        <v>8.1570735597631767</v>
      </c>
      <c r="W141" s="41">
        <f t="shared" si="63"/>
        <v>-0.22652795250638036</v>
      </c>
      <c r="X141" s="41">
        <f t="shared" si="64"/>
        <v>2371.4536704908542</v>
      </c>
      <c r="Y141" s="41">
        <f t="shared" si="65"/>
        <v>153.21937483973716</v>
      </c>
      <c r="Z141" s="41">
        <f t="shared" si="66"/>
        <v>1266.9908619735472</v>
      </c>
      <c r="AA141" s="230">
        <f t="shared" si="46"/>
        <v>0.27003926667805067</v>
      </c>
      <c r="AB141" s="230">
        <f t="shared" si="67"/>
        <v>-0.31032895629259849</v>
      </c>
      <c r="AC141" s="41">
        <f t="shared" si="68"/>
        <v>0.32378947654441009</v>
      </c>
      <c r="AD141" s="41">
        <f t="shared" si="47"/>
        <v>0.12353706002706888</v>
      </c>
      <c r="AE141" s="41">
        <f t="shared" si="69"/>
        <v>-4.2628079915235538E-3</v>
      </c>
      <c r="AF141" s="41">
        <f t="shared" si="48"/>
        <v>739.25632871780692</v>
      </c>
      <c r="AG141" s="41">
        <f t="shared" si="49"/>
        <v>715.42893982065959</v>
      </c>
      <c r="AH141" s="41">
        <f t="shared" si="70"/>
        <v>8.2177220558731836</v>
      </c>
      <c r="AI141" s="41">
        <f t="shared" si="50"/>
        <v>255.20875991613266</v>
      </c>
      <c r="AJ141" s="41">
        <f t="shared" si="71"/>
        <v>6.4393462788529776</v>
      </c>
      <c r="AK141" s="8">
        <f t="shared" si="74"/>
        <v>23.749585052946991</v>
      </c>
      <c r="AL141" s="42">
        <f t="shared" si="75"/>
        <v>1.8166743456601777</v>
      </c>
      <c r="AZ141" s="8"/>
    </row>
    <row r="142" spans="1:52" x14ac:dyDescent="0.25">
      <c r="A142" s="40"/>
      <c r="B142" s="41">
        <f t="shared" si="51"/>
        <v>739.25632871780692</v>
      </c>
      <c r="C142" s="41">
        <f t="shared" si="51"/>
        <v>715.42893982065959</v>
      </c>
      <c r="D142" s="41">
        <f t="shared" si="51"/>
        <v>8.2177220558731836</v>
      </c>
      <c r="E142" s="41">
        <f t="shared" si="72"/>
        <v>16</v>
      </c>
      <c r="F142" s="41">
        <f t="shared" si="52"/>
        <v>16</v>
      </c>
      <c r="G142" s="41">
        <f t="shared" si="53"/>
        <v>2543.7077200227977</v>
      </c>
      <c r="H142" s="25">
        <f t="shared" si="73"/>
        <v>0.04</v>
      </c>
      <c r="I142" s="226">
        <f t="shared" si="54"/>
        <v>19.061911117717866</v>
      </c>
      <c r="J142" s="227">
        <f t="shared" si="76"/>
        <v>80</v>
      </c>
      <c r="K142" s="41">
        <f t="shared" si="55"/>
        <v>1</v>
      </c>
      <c r="L142" s="215">
        <f t="shared" si="56"/>
        <v>8.2577220558731828</v>
      </c>
      <c r="M142" s="215">
        <f t="shared" si="42"/>
        <v>8.2377220558731832</v>
      </c>
      <c r="N142" s="41">
        <f t="shared" si="57"/>
        <v>0.23632624065617591</v>
      </c>
      <c r="O142" s="41">
        <f t="shared" si="58"/>
        <v>6.9200991061017545</v>
      </c>
      <c r="P142" s="228">
        <f t="shared" si="59"/>
        <v>155.74888191523198</v>
      </c>
      <c r="Q142" s="41">
        <f t="shared" si="60"/>
        <v>2444.8870655285227</v>
      </c>
      <c r="R142" s="41">
        <f t="shared" si="61"/>
        <v>1269.8800888537357</v>
      </c>
      <c r="S142" s="215">
        <f t="shared" si="43"/>
        <v>0.27821707153775038</v>
      </c>
      <c r="T142" s="215">
        <f t="shared" si="44"/>
        <v>0.32742010282740586</v>
      </c>
      <c r="U142" s="230">
        <f t="shared" si="62"/>
        <v>8.1777220558731845</v>
      </c>
      <c r="V142" s="230">
        <f t="shared" si="45"/>
        <v>8.197722055873184</v>
      </c>
      <c r="W142" s="41">
        <f t="shared" si="63"/>
        <v>-0.22763533535826497</v>
      </c>
      <c r="X142" s="41">
        <f t="shared" si="64"/>
        <v>2408.2850034090397</v>
      </c>
      <c r="Y142" s="41">
        <f t="shared" si="65"/>
        <v>154.24001094280382</v>
      </c>
      <c r="Z142" s="41">
        <f t="shared" si="66"/>
        <v>1268.1692106470991</v>
      </c>
      <c r="AA142" s="230">
        <f t="shared" si="46"/>
        <v>0.27442164422449289</v>
      </c>
      <c r="AB142" s="230">
        <f t="shared" si="67"/>
        <v>-0.31372950081313478</v>
      </c>
      <c r="AC142" s="41">
        <f t="shared" si="68"/>
        <v>0.32742010282740586</v>
      </c>
      <c r="AD142" s="41">
        <f t="shared" si="47"/>
        <v>0.12216720859404698</v>
      </c>
      <c r="AE142" s="41">
        <f t="shared" si="69"/>
        <v>-4.2070985329893864E-3</v>
      </c>
      <c r="AF142" s="41">
        <f t="shared" si="48"/>
        <v>739.16523485563573</v>
      </c>
      <c r="AG142" s="41">
        <f t="shared" si="49"/>
        <v>715.10151971783216</v>
      </c>
      <c r="AH142" s="41">
        <f t="shared" si="70"/>
        <v>8.2583742572062704</v>
      </c>
      <c r="AI142" s="41">
        <f t="shared" si="50"/>
        <v>257.83544895404526</v>
      </c>
      <c r="AJ142" s="41">
        <f t="shared" si="71"/>
        <v>6.5109672368957678</v>
      </c>
      <c r="AK142" s="8">
        <f t="shared" si="74"/>
        <v>24.395805206152517</v>
      </c>
      <c r="AL142" s="42">
        <f t="shared" si="75"/>
        <v>1.8373011815765012</v>
      </c>
      <c r="AZ142" s="8"/>
    </row>
    <row r="143" spans="1:52" x14ac:dyDescent="0.25">
      <c r="A143" s="40"/>
      <c r="B143" s="41">
        <f t="shared" si="51"/>
        <v>739.16523485563573</v>
      </c>
      <c r="C143" s="41">
        <f t="shared" si="51"/>
        <v>715.10151971783216</v>
      </c>
      <c r="D143" s="41">
        <f t="shared" si="51"/>
        <v>8.2583742572062704</v>
      </c>
      <c r="E143" s="41">
        <f t="shared" si="72"/>
        <v>16</v>
      </c>
      <c r="F143" s="41">
        <f t="shared" si="52"/>
        <v>16</v>
      </c>
      <c r="G143" s="41">
        <f t="shared" si="53"/>
        <v>2581.460923082459</v>
      </c>
      <c r="H143" s="25">
        <f t="shared" si="73"/>
        <v>0.04</v>
      </c>
      <c r="I143" s="226">
        <f t="shared" si="54"/>
        <v>19.250972110242856</v>
      </c>
      <c r="J143" s="227">
        <f t="shared" si="76"/>
        <v>80</v>
      </c>
      <c r="K143" s="41">
        <f t="shared" si="55"/>
        <v>1</v>
      </c>
      <c r="L143" s="215">
        <f t="shared" si="56"/>
        <v>8.2983742572062695</v>
      </c>
      <c r="M143" s="215">
        <f t="shared" si="42"/>
        <v>8.27837425720627</v>
      </c>
      <c r="N143" s="41">
        <f t="shared" si="57"/>
        <v>0.23751412453528786</v>
      </c>
      <c r="O143" s="41">
        <f t="shared" si="58"/>
        <v>6.9085969877716051</v>
      </c>
      <c r="P143" s="228">
        <f t="shared" si="59"/>
        <v>156.7737940441159</v>
      </c>
      <c r="Q143" s="41">
        <f t="shared" si="60"/>
        <v>2482.4519083094506</v>
      </c>
      <c r="R143" s="41">
        <f t="shared" si="61"/>
        <v>1271.0215505051333</v>
      </c>
      <c r="S143" s="215">
        <f t="shared" si="43"/>
        <v>0.28270798209488468</v>
      </c>
      <c r="T143" s="215">
        <f t="shared" si="44"/>
        <v>0.33112612242494893</v>
      </c>
      <c r="U143" s="230">
        <f t="shared" si="62"/>
        <v>8.2183742572062712</v>
      </c>
      <c r="V143" s="230">
        <f t="shared" si="45"/>
        <v>8.2383742572062708</v>
      </c>
      <c r="W143" s="41">
        <f t="shared" si="63"/>
        <v>-0.22874262029484527</v>
      </c>
      <c r="X143" s="41">
        <f t="shared" si="64"/>
        <v>2445.4868181343272</v>
      </c>
      <c r="Y143" s="41">
        <f t="shared" si="65"/>
        <v>155.26243411612919</v>
      </c>
      <c r="Z143" s="41">
        <f t="shared" si="66"/>
        <v>1269.3325158002897</v>
      </c>
      <c r="AA143" s="230">
        <f t="shared" si="46"/>
        <v>0.27886888613477029</v>
      </c>
      <c r="AB143" s="230">
        <f t="shared" si="67"/>
        <v>-0.31719976561376656</v>
      </c>
      <c r="AC143" s="41">
        <f t="shared" si="68"/>
        <v>0.33112612242494893</v>
      </c>
      <c r="AD143" s="41">
        <f t="shared" si="47"/>
        <v>0.12079989252151546</v>
      </c>
      <c r="AE143" s="41">
        <f t="shared" si="69"/>
        <v>-4.1525287674606609E-3</v>
      </c>
      <c r="AF143" s="41">
        <f t="shared" si="48"/>
        <v>739.07162285774609</v>
      </c>
      <c r="AG143" s="41">
        <f t="shared" si="49"/>
        <v>714.7703935954072</v>
      </c>
      <c r="AH143" s="41">
        <f t="shared" si="70"/>
        <v>8.299030161752686</v>
      </c>
      <c r="AI143" s="41">
        <f t="shared" si="50"/>
        <v>260.51967592001239</v>
      </c>
      <c r="AJ143" s="41">
        <f t="shared" si="71"/>
        <v>6.5833338135402153</v>
      </c>
      <c r="AK143" s="8">
        <f t="shared" si="74"/>
        <v>25.058491117008089</v>
      </c>
      <c r="AL143" s="42">
        <f t="shared" si="75"/>
        <v>1.8581427556501022</v>
      </c>
      <c r="AZ143" s="8"/>
    </row>
    <row r="144" spans="1:52" x14ac:dyDescent="0.25">
      <c r="A144" s="40"/>
      <c r="B144" s="41">
        <f t="shared" si="51"/>
        <v>739.07162285774609</v>
      </c>
      <c r="C144" s="41">
        <f t="shared" si="51"/>
        <v>714.7703935954072</v>
      </c>
      <c r="D144" s="41">
        <f t="shared" si="51"/>
        <v>8.299030161752686</v>
      </c>
      <c r="E144" s="41">
        <f t="shared" si="72"/>
        <v>16</v>
      </c>
      <c r="F144" s="41">
        <f t="shared" si="52"/>
        <v>16</v>
      </c>
      <c r="G144" s="41">
        <f t="shared" si="53"/>
        <v>2619.5893283313335</v>
      </c>
      <c r="H144" s="25">
        <f t="shared" si="73"/>
        <v>0.04</v>
      </c>
      <c r="I144" s="226">
        <f t="shared" si="54"/>
        <v>19.440983409871116</v>
      </c>
      <c r="J144" s="227">
        <f t="shared" si="76"/>
        <v>80</v>
      </c>
      <c r="K144" s="41">
        <f t="shared" si="55"/>
        <v>1</v>
      </c>
      <c r="L144" s="215">
        <f t="shared" si="56"/>
        <v>8.3390301617526852</v>
      </c>
      <c r="M144" s="215">
        <f t="shared" si="42"/>
        <v>8.3190301617526856</v>
      </c>
      <c r="N144" s="41">
        <f t="shared" si="57"/>
        <v>0.23870231551723009</v>
      </c>
      <c r="O144" s="41">
        <f t="shared" si="58"/>
        <v>6.8967769128380736</v>
      </c>
      <c r="P144" s="228">
        <f t="shared" si="59"/>
        <v>157.80048015515229</v>
      </c>
      <c r="Q144" s="41">
        <f t="shared" si="60"/>
        <v>2520.3909770534174</v>
      </c>
      <c r="R144" s="41">
        <f t="shared" si="61"/>
        <v>1272.1486419972612</v>
      </c>
      <c r="S144" s="215">
        <f t="shared" si="43"/>
        <v>0.28726576987466873</v>
      </c>
      <c r="T144" s="215">
        <f t="shared" si="44"/>
        <v>0.33491069381535854</v>
      </c>
      <c r="U144" s="230">
        <f t="shared" si="62"/>
        <v>8.2590301617526869</v>
      </c>
      <c r="V144" s="230">
        <f t="shared" si="45"/>
        <v>8.2790301617526865</v>
      </c>
      <c r="W144" s="41">
        <f t="shared" si="63"/>
        <v>-0.22984980720710979</v>
      </c>
      <c r="X144" s="41">
        <f t="shared" si="64"/>
        <v>2483.0610340774442</v>
      </c>
      <c r="Y144" s="41">
        <f t="shared" si="65"/>
        <v>156.28663919249507</v>
      </c>
      <c r="Z144" s="41">
        <f t="shared" si="66"/>
        <v>1270.4810527053996</v>
      </c>
      <c r="AA144" s="230">
        <f t="shared" si="46"/>
        <v>0.28338249773695778</v>
      </c>
      <c r="AB144" s="230">
        <f t="shared" si="67"/>
        <v>-0.32074266464502416</v>
      </c>
      <c r="AC144" s="41">
        <f t="shared" si="68"/>
        <v>0.33491069381535854</v>
      </c>
      <c r="AD144" s="41">
        <f t="shared" si="47"/>
        <v>0.11943482468210651</v>
      </c>
      <c r="AE144" s="41">
        <f t="shared" si="69"/>
        <v>-4.0990762255894196E-3</v>
      </c>
      <c r="AF144" s="41">
        <f t="shared" si="48"/>
        <v>738.97541447944798</v>
      </c>
      <c r="AG144" s="41">
        <f t="shared" si="49"/>
        <v>714.43548290159185</v>
      </c>
      <c r="AH144" s="41">
        <f t="shared" si="70"/>
        <v>8.3396897675362069</v>
      </c>
      <c r="AI144" s="41">
        <f t="shared" si="50"/>
        <v>263.26380641302416</v>
      </c>
      <c r="AJ144" s="41">
        <f t="shared" si="71"/>
        <v>6.6564626486549443</v>
      </c>
      <c r="AK144" s="8">
        <f t="shared" si="74"/>
        <v>25.738096345725257</v>
      </c>
      <c r="AL144" s="42">
        <f t="shared" si="75"/>
        <v>1.8792038601631442</v>
      </c>
      <c r="AZ144" s="8"/>
    </row>
    <row r="145" spans="1:52" x14ac:dyDescent="0.25">
      <c r="A145" s="40"/>
      <c r="B145" s="41">
        <f t="shared" si="51"/>
        <v>738.97541447944798</v>
      </c>
      <c r="C145" s="41">
        <f t="shared" si="51"/>
        <v>714.43548290159185</v>
      </c>
      <c r="D145" s="41">
        <f t="shared" si="51"/>
        <v>8.3396897675362069</v>
      </c>
      <c r="E145" s="41">
        <f t="shared" si="72"/>
        <v>16</v>
      </c>
      <c r="F145" s="41">
        <f t="shared" si="52"/>
        <v>16</v>
      </c>
      <c r="G145" s="41">
        <f t="shared" si="53"/>
        <v>2658.0948571781623</v>
      </c>
      <c r="H145" s="25">
        <f t="shared" si="73"/>
        <v>0.04</v>
      </c>
      <c r="I145" s="226">
        <f t="shared" si="54"/>
        <v>19.631945262284901</v>
      </c>
      <c r="J145" s="227">
        <f t="shared" si="76"/>
        <v>80</v>
      </c>
      <c r="K145" s="41">
        <f t="shared" si="55"/>
        <v>1</v>
      </c>
      <c r="L145" s="215">
        <f t="shared" si="56"/>
        <v>8.3796897675362061</v>
      </c>
      <c r="M145" s="215">
        <f t="shared" si="42"/>
        <v>8.3596897675362065</v>
      </c>
      <c r="N145" s="41">
        <f t="shared" si="57"/>
        <v>0.23989081359858488</v>
      </c>
      <c r="O145" s="41">
        <f t="shared" si="58"/>
        <v>6.8846290016049645</v>
      </c>
      <c r="P145" s="228">
        <f t="shared" si="59"/>
        <v>158.82893518843767</v>
      </c>
      <c r="Q145" s="41">
        <f t="shared" si="60"/>
        <v>2558.7061926057663</v>
      </c>
      <c r="R145" s="41">
        <f t="shared" si="61"/>
        <v>1273.2616226072682</v>
      </c>
      <c r="S145" s="215">
        <f t="shared" si="43"/>
        <v>0.29189202470079789</v>
      </c>
      <c r="T145" s="215">
        <f t="shared" si="44"/>
        <v>0.33877716671277713</v>
      </c>
      <c r="U145" s="230">
        <f t="shared" si="62"/>
        <v>8.2996897675362078</v>
      </c>
      <c r="V145" s="230">
        <f t="shared" si="45"/>
        <v>8.3196897675362074</v>
      </c>
      <c r="W145" s="41">
        <f t="shared" si="63"/>
        <v>-0.23095689598684999</v>
      </c>
      <c r="X145" s="41">
        <f t="shared" si="64"/>
        <v>2521.0095716119854</v>
      </c>
      <c r="Y145" s="41">
        <f t="shared" si="65"/>
        <v>157.31262104794337</v>
      </c>
      <c r="Z145" s="41">
        <f t="shared" si="66"/>
        <v>1271.6150900752295</v>
      </c>
      <c r="AA145" s="230">
        <f t="shared" si="46"/>
        <v>0.28796405440313555</v>
      </c>
      <c r="AB145" s="230">
        <f t="shared" si="67"/>
        <v>-0.32436128739715558</v>
      </c>
      <c r="AC145" s="41">
        <f t="shared" si="68"/>
        <v>0.33877716671277713</v>
      </c>
      <c r="AD145" s="41">
        <f t="shared" si="47"/>
        <v>0.11807171182204525</v>
      </c>
      <c r="AE145" s="41">
        <f t="shared" si="69"/>
        <v>-4.0467193782967965E-3</v>
      </c>
      <c r="AF145" s="41">
        <f t="shared" si="48"/>
        <v>738.87652812633382</v>
      </c>
      <c r="AG145" s="41">
        <f t="shared" si="49"/>
        <v>714.09670573487904</v>
      </c>
      <c r="AH145" s="41">
        <f t="shared" si="70"/>
        <v>8.3803530726134987</v>
      </c>
      <c r="AI145" s="41">
        <f t="shared" si="50"/>
        <v>266.07035089855327</v>
      </c>
      <c r="AJ145" s="41">
        <f t="shared" si="71"/>
        <v>6.7303710794600979</v>
      </c>
      <c r="AK145" s="8">
        <f t="shared" si="74"/>
        <v>26.435091397524481</v>
      </c>
      <c r="AL145" s="42">
        <f t="shared" si="75"/>
        <v>1.9004894882350285</v>
      </c>
      <c r="AZ145" s="8"/>
    </row>
    <row r="146" spans="1:52" x14ac:dyDescent="0.25">
      <c r="A146" s="40"/>
      <c r="B146" s="41">
        <f t="shared" si="51"/>
        <v>738.87652812633382</v>
      </c>
      <c r="C146" s="41">
        <f t="shared" si="51"/>
        <v>714.09670573487904</v>
      </c>
      <c r="D146" s="41">
        <f t="shared" si="51"/>
        <v>8.3803530726134987</v>
      </c>
      <c r="E146" s="41">
        <f t="shared" si="72"/>
        <v>16</v>
      </c>
      <c r="F146" s="41">
        <f t="shared" si="52"/>
        <v>16</v>
      </c>
      <c r="G146" s="41">
        <f t="shared" si="53"/>
        <v>2696.9794319949488</v>
      </c>
      <c r="H146" s="25">
        <f t="shared" si="73"/>
        <v>0.04</v>
      </c>
      <c r="I146" s="226">
        <f t="shared" si="54"/>
        <v>19.823857913163831</v>
      </c>
      <c r="J146" s="227">
        <f t="shared" si="76"/>
        <v>80</v>
      </c>
      <c r="K146" s="41">
        <f t="shared" si="55"/>
        <v>1</v>
      </c>
      <c r="L146" s="215">
        <f t="shared" si="56"/>
        <v>8.4203530726134979</v>
      </c>
      <c r="M146" s="215">
        <f t="shared" si="42"/>
        <v>8.4003530726134983</v>
      </c>
      <c r="N146" s="41">
        <f t="shared" si="57"/>
        <v>0.24107961877685113</v>
      </c>
      <c r="O146" s="41">
        <f t="shared" si="58"/>
        <v>6.872142951418418</v>
      </c>
      <c r="P146" s="228">
        <f t="shared" si="59"/>
        <v>159.85915412594318</v>
      </c>
      <c r="Q146" s="41">
        <f t="shared" si="60"/>
        <v>2597.3994767749409</v>
      </c>
      <c r="R146" s="41">
        <f t="shared" si="61"/>
        <v>1274.3607455204879</v>
      </c>
      <c r="S146" s="215">
        <f t="shared" si="43"/>
        <v>0.29658841183802809</v>
      </c>
      <c r="T146" s="215">
        <f t="shared" si="44"/>
        <v>0.34272909749297253</v>
      </c>
      <c r="U146" s="230">
        <f t="shared" si="62"/>
        <v>8.3403530726134996</v>
      </c>
      <c r="V146" s="230">
        <f t="shared" si="45"/>
        <v>8.3603530726134991</v>
      </c>
      <c r="W146" s="41">
        <f t="shared" si="63"/>
        <v>-0.23206388652681653</v>
      </c>
      <c r="X146" s="41">
        <f t="shared" si="64"/>
        <v>2559.334352074653</v>
      </c>
      <c r="Y146" s="41">
        <f t="shared" si="65"/>
        <v>158.34037460121269</v>
      </c>
      <c r="Z146" s="41">
        <f t="shared" si="66"/>
        <v>1272.734890255552</v>
      </c>
      <c r="AA146" s="230">
        <f t="shared" si="46"/>
        <v>0.29261520619675013</v>
      </c>
      <c r="AB146" s="230">
        <f t="shared" si="67"/>
        <v>-0.32805891299857681</v>
      </c>
      <c r="AC146" s="41">
        <f t="shared" si="68"/>
        <v>0.34272909749297253</v>
      </c>
      <c r="AD146" s="41">
        <f t="shared" si="47"/>
        <v>0.11671025393698933</v>
      </c>
      <c r="AE146" s="41">
        <f t="shared" si="69"/>
        <v>-3.9954376256324002E-3</v>
      </c>
      <c r="AF146" s="41">
        <f t="shared" si="48"/>
        <v>738.7748786476177</v>
      </c>
      <c r="AG146" s="41">
        <f t="shared" si="49"/>
        <v>713.75397663738602</v>
      </c>
      <c r="AH146" s="41">
        <f t="shared" si="70"/>
        <v>8.4210200750734217</v>
      </c>
      <c r="AI146" s="41">
        <f t="shared" si="50"/>
        <v>268.9419763577161</v>
      </c>
      <c r="AJ146" s="41">
        <f t="shared" si="71"/>
        <v>6.8050771840039079</v>
      </c>
      <c r="AK146" s="8">
        <f t="shared" si="74"/>
        <v>27.149964681760256</v>
      </c>
      <c r="AL146" s="42">
        <f t="shared" si="75"/>
        <v>1.9220048463436459</v>
      </c>
      <c r="AZ146" s="8"/>
    </row>
    <row r="147" spans="1:52" x14ac:dyDescent="0.25">
      <c r="A147" s="40"/>
      <c r="B147" s="41">
        <f t="shared" si="51"/>
        <v>738.7748786476177</v>
      </c>
      <c r="C147" s="41">
        <f t="shared" si="51"/>
        <v>713.75397663738602</v>
      </c>
      <c r="D147" s="41">
        <f t="shared" si="51"/>
        <v>8.4210200750734217</v>
      </c>
      <c r="E147" s="41">
        <f t="shared" si="72"/>
        <v>16</v>
      </c>
      <c r="F147" s="41">
        <f t="shared" si="52"/>
        <v>16</v>
      </c>
      <c r="G147" s="41">
        <f t="shared" si="53"/>
        <v>2736.244976117152</v>
      </c>
      <c r="H147" s="25">
        <f t="shared" si="73"/>
        <v>0.04</v>
      </c>
      <c r="I147" s="226">
        <f t="shared" si="54"/>
        <v>20.016721608185346</v>
      </c>
      <c r="J147" s="227">
        <f t="shared" si="76"/>
        <v>80</v>
      </c>
      <c r="K147" s="41">
        <f t="shared" si="55"/>
        <v>1</v>
      </c>
      <c r="L147" s="215">
        <f t="shared" si="56"/>
        <v>8.4610200750734208</v>
      </c>
      <c r="M147" s="215">
        <f t="shared" si="42"/>
        <v>8.4410200750734212</v>
      </c>
      <c r="N147" s="41">
        <f t="shared" si="57"/>
        <v>0.24226873105045854</v>
      </c>
      <c r="O147" s="41">
        <f t="shared" si="58"/>
        <v>6.8593080105725281</v>
      </c>
      <c r="P147" s="228">
        <f t="shared" si="59"/>
        <v>160.89113199097369</v>
      </c>
      <c r="Q147" s="41">
        <f t="shared" si="60"/>
        <v>2636.4727523326756</v>
      </c>
      <c r="R147" s="41">
        <f t="shared" si="61"/>
        <v>1275.4462580066618</v>
      </c>
      <c r="S147" s="215">
        <f t="shared" si="43"/>
        <v>0.30135667708379549</v>
      </c>
      <c r="T147" s="215">
        <f t="shared" si="44"/>
        <v>0.34677026617703222</v>
      </c>
      <c r="U147" s="230">
        <f t="shared" si="62"/>
        <v>8.3810200750734225</v>
      </c>
      <c r="V147" s="230">
        <f t="shared" si="45"/>
        <v>8.4010200750734221</v>
      </c>
      <c r="W147" s="41">
        <f t="shared" si="63"/>
        <v>-0.23317077872072645</v>
      </c>
      <c r="X147" s="41">
        <f t="shared" si="64"/>
        <v>2598.0372977654351</v>
      </c>
      <c r="Y147" s="41">
        <f t="shared" si="65"/>
        <v>159.36989481318332</v>
      </c>
      <c r="Z147" s="41">
        <f t="shared" si="66"/>
        <v>1273.8407094108622</v>
      </c>
      <c r="AA147" s="230">
        <f t="shared" si="46"/>
        <v>0.29733768291316398</v>
      </c>
      <c r="AB147" s="230">
        <f t="shared" si="67"/>
        <v>-0.33183902573205853</v>
      </c>
      <c r="AC147" s="41">
        <f t="shared" si="68"/>
        <v>0.34677026617703222</v>
      </c>
      <c r="AD147" s="41">
        <f t="shared" si="47"/>
        <v>0.11535014360077606</v>
      </c>
      <c r="AE147" s="41">
        <f t="shared" si="69"/>
        <v>-3.9452112877198468E-3</v>
      </c>
      <c r="AF147" s="41">
        <f t="shared" si="48"/>
        <v>738.67037711249111</v>
      </c>
      <c r="AG147" s="41">
        <f t="shared" si="49"/>
        <v>713.40720637120899</v>
      </c>
      <c r="AH147" s="41">
        <f t="shared" si="70"/>
        <v>8.4616907730364819</v>
      </c>
      <c r="AI147" s="41">
        <f t="shared" si="50"/>
        <v>271.88151911550085</v>
      </c>
      <c r="AJ147" s="41">
        <f t="shared" si="71"/>
        <v>6.8805998282026586</v>
      </c>
      <c r="AK147" s="8">
        <f t="shared" si="74"/>
        <v>27.883223546754305</v>
      </c>
      <c r="AL147" s="42">
        <f t="shared" si="75"/>
        <v>1.9437553678728861</v>
      </c>
      <c r="AZ147" s="8"/>
    </row>
    <row r="148" spans="1:52" x14ac:dyDescent="0.25">
      <c r="A148" s="40"/>
      <c r="B148" s="41">
        <f t="shared" si="51"/>
        <v>738.67037711249111</v>
      </c>
      <c r="C148" s="41">
        <f t="shared" si="51"/>
        <v>713.40720637120899</v>
      </c>
      <c r="D148" s="41">
        <f t="shared" si="51"/>
        <v>8.4616907730364819</v>
      </c>
      <c r="E148" s="41">
        <f t="shared" si="72"/>
        <v>16</v>
      </c>
      <c r="F148" s="41">
        <f t="shared" si="52"/>
        <v>16</v>
      </c>
      <c r="G148" s="41">
        <f t="shared" si="53"/>
        <v>2775.8934138439668</v>
      </c>
      <c r="H148" s="25">
        <f t="shared" si="73"/>
        <v>0.04</v>
      </c>
      <c r="I148" s="226">
        <f t="shared" si="54"/>
        <v>20.210536593025701</v>
      </c>
      <c r="J148" s="227">
        <f t="shared" si="76"/>
        <v>80</v>
      </c>
      <c r="K148" s="41">
        <f t="shared" si="55"/>
        <v>1</v>
      </c>
      <c r="L148" s="215">
        <f t="shared" si="56"/>
        <v>8.501690773036481</v>
      </c>
      <c r="M148" s="215">
        <f t="shared" si="42"/>
        <v>8.4816907730364814</v>
      </c>
      <c r="N148" s="41">
        <f t="shared" si="57"/>
        <v>0.24345815041866814</v>
      </c>
      <c r="O148" s="41">
        <f t="shared" si="58"/>
        <v>6.8461129500705447</v>
      </c>
      <c r="P148" s="228">
        <f t="shared" si="59"/>
        <v>161.92486384764044</v>
      </c>
      <c r="Q148" s="41">
        <f t="shared" si="60"/>
        <v>2675.9279430142856</v>
      </c>
      <c r="R148" s="41">
        <f t="shared" si="61"/>
        <v>1276.518401590122</v>
      </c>
      <c r="S148" s="215">
        <f t="shared" si="43"/>
        <v>0.30619865229861176</v>
      </c>
      <c r="T148" s="215">
        <f t="shared" si="44"/>
        <v>0.35090469516276063</v>
      </c>
      <c r="U148" s="230">
        <f t="shared" si="62"/>
        <v>8.4216907730364827</v>
      </c>
      <c r="V148" s="230">
        <f t="shared" si="45"/>
        <v>8.4416907730364823</v>
      </c>
      <c r="W148" s="41">
        <f t="shared" si="63"/>
        <v>-0.23427757246317071</v>
      </c>
      <c r="X148" s="41">
        <f t="shared" si="64"/>
        <v>2637.1203319479123</v>
      </c>
      <c r="Y148" s="41">
        <f t="shared" si="65"/>
        <v>160.40117668633559</v>
      </c>
      <c r="Z148" s="41">
        <f t="shared" si="66"/>
        <v>1274.9327977036987</v>
      </c>
      <c r="AA148" s="230">
        <f t="shared" si="46"/>
        <v>0.30213329955452972</v>
      </c>
      <c r="AB148" s="230">
        <f t="shared" si="67"/>
        <v>-0.33570533214097187</v>
      </c>
      <c r="AC148" s="41">
        <f t="shared" si="68"/>
        <v>0.35090469516276063</v>
      </c>
      <c r="AD148" s="41">
        <f t="shared" si="47"/>
        <v>0.11399106524193625</v>
      </c>
      <c r="AE148" s="41">
        <f t="shared" si="69"/>
        <v>-3.8960215978795453E-3</v>
      </c>
      <c r="AF148" s="41">
        <f t="shared" si="48"/>
        <v>738.562930567747</v>
      </c>
      <c r="AG148" s="41">
        <f t="shared" si="49"/>
        <v>713.05630167604625</v>
      </c>
      <c r="AH148" s="41">
        <f t="shared" si="70"/>
        <v>8.5023651646542202</v>
      </c>
      <c r="AI148" s="41">
        <f t="shared" si="50"/>
        <v>274.89199899167045</v>
      </c>
      <c r="AJ148" s="41">
        <f t="shared" si="71"/>
        <v>6.9569587168114557</v>
      </c>
      <c r="AK148" s="8">
        <f t="shared" si="74"/>
        <v>28.635395397970065</v>
      </c>
      <c r="AL148" s="42">
        <f t="shared" si="75"/>
        <v>1.9657467277922196</v>
      </c>
      <c r="AZ148" s="8"/>
    </row>
    <row r="149" spans="1:52" x14ac:dyDescent="0.25">
      <c r="A149" s="40"/>
      <c r="B149" s="41">
        <f t="shared" si="51"/>
        <v>738.562930567747</v>
      </c>
      <c r="C149" s="41">
        <f t="shared" si="51"/>
        <v>713.05630167604625</v>
      </c>
      <c r="D149" s="41">
        <f t="shared" si="51"/>
        <v>8.5023651646542202</v>
      </c>
      <c r="E149" s="41">
        <f t="shared" si="72"/>
        <v>16</v>
      </c>
      <c r="F149" s="41">
        <f t="shared" si="52"/>
        <v>16</v>
      </c>
      <c r="G149" s="41">
        <f t="shared" si="53"/>
        <v>2815.9266704385923</v>
      </c>
      <c r="H149" s="25">
        <f t="shared" si="73"/>
        <v>0.04</v>
      </c>
      <c r="I149" s="226">
        <f t="shared" si="54"/>
        <v>20.405303113360606</v>
      </c>
      <c r="J149" s="227">
        <f t="shared" si="76"/>
        <v>80</v>
      </c>
      <c r="K149" s="41">
        <f t="shared" si="55"/>
        <v>1</v>
      </c>
      <c r="L149" s="215">
        <f t="shared" si="56"/>
        <v>8.5423651646542194</v>
      </c>
      <c r="M149" s="215">
        <f t="shared" si="42"/>
        <v>8.5223651646542198</v>
      </c>
      <c r="N149" s="41">
        <f t="shared" si="57"/>
        <v>0.24464787688174283</v>
      </c>
      <c r="O149" s="41">
        <f t="shared" si="58"/>
        <v>6.8325460330208552</v>
      </c>
      <c r="P149" s="228">
        <f t="shared" si="59"/>
        <v>162.96034480034041</v>
      </c>
      <c r="Q149" s="41">
        <f t="shared" si="60"/>
        <v>2715.7669735189143</v>
      </c>
      <c r="R149" s="41">
        <f t="shared" si="61"/>
        <v>1277.5774122141572</v>
      </c>
      <c r="S149" s="215">
        <f t="shared" si="43"/>
        <v>0.31111626142197918</v>
      </c>
      <c r="T149" s="215">
        <f t="shared" si="44"/>
        <v>0.35513666992160353</v>
      </c>
      <c r="U149" s="230">
        <f t="shared" si="62"/>
        <v>8.4623651646542211</v>
      </c>
      <c r="V149" s="230">
        <f t="shared" si="45"/>
        <v>8.4823651646542206</v>
      </c>
      <c r="W149" s="41">
        <f t="shared" si="63"/>
        <v>-0.23538426764955744</v>
      </c>
      <c r="X149" s="41">
        <f t="shared" si="64"/>
        <v>2676.5853788494883</v>
      </c>
      <c r="Y149" s="41">
        <f t="shared" si="65"/>
        <v>161.43421526421534</v>
      </c>
      <c r="Z149" s="41">
        <f t="shared" si="66"/>
        <v>1276.0113994677911</v>
      </c>
      <c r="AA149" s="230">
        <f t="shared" si="46"/>
        <v>0.30700396228524285</v>
      </c>
      <c r="AB149" s="230">
        <f t="shared" si="67"/>
        <v>-0.3396617799226776</v>
      </c>
      <c r="AC149" s="41">
        <f t="shared" si="68"/>
        <v>0.35513666992160353</v>
      </c>
      <c r="AD149" s="41">
        <f t="shared" si="47"/>
        <v>0.11263269436194805</v>
      </c>
      <c r="AE149" s="41">
        <f t="shared" si="69"/>
        <v>-3.8478506987360281E-3</v>
      </c>
      <c r="AF149" s="41">
        <f t="shared" si="48"/>
        <v>738.45244177470715</v>
      </c>
      <c r="AG149" s="41">
        <f t="shared" si="49"/>
        <v>712.7011650061246</v>
      </c>
      <c r="AH149" s="41">
        <f t="shared" si="70"/>
        <v>8.5430432481086331</v>
      </c>
      <c r="AI149" s="41">
        <f t="shared" si="50"/>
        <v>277.97663493918509</v>
      </c>
      <c r="AJ149" s="41">
        <f t="shared" si="71"/>
        <v>7.034174448739007</v>
      </c>
      <c r="AK149" s="8">
        <f t="shared" si="74"/>
        <v>29.407028908100258</v>
      </c>
      <c r="AL149" s="42">
        <f t="shared" si="75"/>
        <v>1.9879848585873543</v>
      </c>
      <c r="AZ149" s="8"/>
    </row>
    <row r="150" spans="1:52" x14ac:dyDescent="0.25">
      <c r="A150" s="40"/>
      <c r="B150" s="41">
        <f t="shared" si="51"/>
        <v>738.45244177470715</v>
      </c>
      <c r="C150" s="41">
        <f t="shared" si="51"/>
        <v>712.7011650061246</v>
      </c>
      <c r="D150" s="41">
        <f t="shared" si="51"/>
        <v>8.5430432481086331</v>
      </c>
      <c r="E150" s="41">
        <f t="shared" si="72"/>
        <v>16</v>
      </c>
      <c r="F150" s="41">
        <f t="shared" si="52"/>
        <v>16</v>
      </c>
      <c r="G150" s="41">
        <f t="shared" si="53"/>
        <v>2856.3466721284676</v>
      </c>
      <c r="H150" s="25">
        <f t="shared" si="73"/>
        <v>0.04</v>
      </c>
      <c r="I150" s="226">
        <f t="shared" si="54"/>
        <v>20.601021414866047</v>
      </c>
      <c r="J150" s="227">
        <f t="shared" si="76"/>
        <v>80</v>
      </c>
      <c r="K150" s="41">
        <f t="shared" si="55"/>
        <v>1</v>
      </c>
      <c r="L150" s="215">
        <f t="shared" si="56"/>
        <v>8.5830432481086323</v>
      </c>
      <c r="M150" s="215">
        <f t="shared" si="42"/>
        <v>8.5630432481086327</v>
      </c>
      <c r="N150" s="41">
        <f t="shared" si="57"/>
        <v>0.24583791044069159</v>
      </c>
      <c r="O150" s="41">
        <f t="shared" si="58"/>
        <v>6.8185949814196904</v>
      </c>
      <c r="P150" s="228">
        <f t="shared" si="59"/>
        <v>163.99756999324526</v>
      </c>
      <c r="Q150" s="41">
        <f t="shared" si="60"/>
        <v>2755.9917695097815</v>
      </c>
      <c r="R150" s="41">
        <f t="shared" si="61"/>
        <v>1278.6235203998017</v>
      </c>
      <c r="S150" s="215">
        <f t="shared" si="43"/>
        <v>0.31611152702654099</v>
      </c>
      <c r="T150" s="215">
        <f t="shared" si="44"/>
        <v>0.35947076190920429</v>
      </c>
      <c r="U150" s="230">
        <f t="shared" si="62"/>
        <v>8.503043248108634</v>
      </c>
      <c r="V150" s="230">
        <f t="shared" si="45"/>
        <v>8.5230432481086336</v>
      </c>
      <c r="W150" s="41">
        <f t="shared" si="63"/>
        <v>-0.23649086417623977</v>
      </c>
      <c r="X150" s="41">
        <f t="shared" si="64"/>
        <v>2716.4343636616441</v>
      </c>
      <c r="Y150" s="41">
        <f t="shared" si="65"/>
        <v>162.46900563090981</v>
      </c>
      <c r="Z150" s="41">
        <f t="shared" si="66"/>
        <v>1277.0767533752794</v>
      </c>
      <c r="AA150" s="230">
        <f t="shared" si="46"/>
        <v>0.31195167492015796</v>
      </c>
      <c r="AB150" s="230">
        <f t="shared" si="67"/>
        <v>-0.34371257883491985</v>
      </c>
      <c r="AC150" s="41">
        <f t="shared" si="68"/>
        <v>0.35947076190920429</v>
      </c>
      <c r="AD150" s="41">
        <f t="shared" si="47"/>
        <v>0.11127469668897096</v>
      </c>
      <c r="AE150" s="41">
        <f t="shared" si="69"/>
        <v>-3.8006816399821972E-3</v>
      </c>
      <c r="AF150" s="41">
        <f t="shared" si="48"/>
        <v>738.33880892323862</v>
      </c>
      <c r="AG150" s="41">
        <f t="shared" si="49"/>
        <v>712.34169424421543</v>
      </c>
      <c r="AH150" s="41">
        <f t="shared" si="70"/>
        <v>8.5837250216115333</v>
      </c>
      <c r="AI150" s="41">
        <f t="shared" si="50"/>
        <v>281.13886235786163</v>
      </c>
      <c r="AJ150" s="41">
        <f t="shared" si="71"/>
        <v>7.1122685771717462</v>
      </c>
      <c r="AK150" s="8">
        <f t="shared" si="74"/>
        <v>30.198695328710524</v>
      </c>
      <c r="AL150" s="42">
        <f t="shared" si="75"/>
        <v>2.0104759675759833</v>
      </c>
      <c r="AZ150" s="8"/>
    </row>
    <row r="151" spans="1:52" x14ac:dyDescent="0.25">
      <c r="A151" s="40"/>
      <c r="B151" s="41">
        <f t="shared" si="51"/>
        <v>738.33880892323862</v>
      </c>
      <c r="C151" s="41">
        <f t="shared" si="51"/>
        <v>712.34169424421543</v>
      </c>
      <c r="D151" s="41">
        <f t="shared" si="51"/>
        <v>8.5837250216115333</v>
      </c>
      <c r="E151" s="41">
        <f t="shared" si="72"/>
        <v>16</v>
      </c>
      <c r="F151" s="41">
        <f t="shared" si="52"/>
        <v>16</v>
      </c>
      <c r="G151" s="41">
        <f t="shared" si="53"/>
        <v>2897.1553461054455</v>
      </c>
      <c r="H151" s="25">
        <f t="shared" si="73"/>
        <v>0.04</v>
      </c>
      <c r="I151" s="226">
        <f t="shared" si="54"/>
        <v>20.79769174321855</v>
      </c>
      <c r="J151" s="227">
        <f t="shared" si="76"/>
        <v>80</v>
      </c>
      <c r="K151" s="41">
        <f t="shared" si="55"/>
        <v>1</v>
      </c>
      <c r="L151" s="215">
        <f t="shared" si="56"/>
        <v>8.6237250216115324</v>
      </c>
      <c r="M151" s="215">
        <f t="shared" si="42"/>
        <v>8.6037250216115329</v>
      </c>
      <c r="N151" s="41">
        <f t="shared" si="57"/>
        <v>0.24702825109740445</v>
      </c>
      <c r="O151" s="41">
        <f t="shared" si="58"/>
        <v>6.8042469400409296</v>
      </c>
      <c r="P151" s="228">
        <f t="shared" si="59"/>
        <v>165.03653460979754</v>
      </c>
      <c r="Q151" s="41">
        <f t="shared" si="60"/>
        <v>2796.6042576143623</v>
      </c>
      <c r="R151" s="41">
        <f t="shared" si="61"/>
        <v>1279.6569513992577</v>
      </c>
      <c r="S151" s="215">
        <f t="shared" si="43"/>
        <v>0.32118657747004348</v>
      </c>
      <c r="T151" s="215">
        <f t="shared" si="44"/>
        <v>0.36391185397708153</v>
      </c>
      <c r="U151" s="230">
        <f t="shared" si="62"/>
        <v>8.5437250216115341</v>
      </c>
      <c r="V151" s="230">
        <f t="shared" si="45"/>
        <v>8.5637250216115337</v>
      </c>
      <c r="W151" s="41">
        <f t="shared" si="63"/>
        <v>-0.2375973619403382</v>
      </c>
      <c r="X151" s="41">
        <f t="shared" si="64"/>
        <v>2756.6692125401173</v>
      </c>
      <c r="Y151" s="41">
        <f t="shared" si="65"/>
        <v>163.50554291052995</v>
      </c>
      <c r="Z151" s="41">
        <f t="shared" si="66"/>
        <v>1278.1290925982362</v>
      </c>
      <c r="AA151" s="230">
        <f t="shared" si="46"/>
        <v>0.31697854600452791</v>
      </c>
      <c r="AB151" s="230">
        <f t="shared" si="67"/>
        <v>-0.34786222387373689</v>
      </c>
      <c r="AC151" s="41">
        <f t="shared" si="68"/>
        <v>0.36391185397708153</v>
      </c>
      <c r="AD151" s="41">
        <f t="shared" si="47"/>
        <v>0.10991672725923109</v>
      </c>
      <c r="AE151" s="41">
        <f t="shared" si="69"/>
        <v>-3.7544983800200668E-3</v>
      </c>
      <c r="AF151" s="41">
        <f t="shared" si="48"/>
        <v>738.22192532035899</v>
      </c>
      <c r="AG151" s="41">
        <f t="shared" si="49"/>
        <v>711.9777823902383</v>
      </c>
      <c r="AH151" s="41">
        <f t="shared" si="70"/>
        <v>8.6244104834041284</v>
      </c>
      <c r="AI151" s="41">
        <f t="shared" si="50"/>
        <v>284.38235230087048</v>
      </c>
      <c r="AJ151" s="41">
        <f t="shared" si="71"/>
        <v>7.1912636750330989</v>
      </c>
      <c r="AK151" s="8">
        <f t="shared" si="74"/>
        <v>31.010989914317182</v>
      </c>
      <c r="AL151" s="42">
        <f t="shared" si="75"/>
        <v>2.0332265557600531</v>
      </c>
      <c r="AZ151" s="8"/>
    </row>
    <row r="152" spans="1:52" x14ac:dyDescent="0.25">
      <c r="A152" s="40"/>
      <c r="B152" s="41">
        <f t="shared" si="51"/>
        <v>738.22192532035899</v>
      </c>
      <c r="C152" s="41">
        <f t="shared" si="51"/>
        <v>711.9777823902383</v>
      </c>
      <c r="D152" s="41">
        <f t="shared" si="51"/>
        <v>8.6244104834041284</v>
      </c>
      <c r="E152" s="41">
        <f t="shared" si="72"/>
        <v>16</v>
      </c>
      <c r="F152" s="41">
        <f t="shared" si="52"/>
        <v>16</v>
      </c>
      <c r="G152" s="41">
        <f t="shared" si="53"/>
        <v>2938.3546205261887</v>
      </c>
      <c r="H152" s="25">
        <f t="shared" si="73"/>
        <v>0.04</v>
      </c>
      <c r="I152" s="226">
        <f t="shared" si="54"/>
        <v>20.995314344096553</v>
      </c>
      <c r="J152" s="227">
        <f t="shared" si="76"/>
        <v>80</v>
      </c>
      <c r="K152" s="41">
        <f t="shared" si="55"/>
        <v>1</v>
      </c>
      <c r="L152" s="215">
        <f t="shared" si="56"/>
        <v>8.6644104834041276</v>
      </c>
      <c r="M152" s="215">
        <f t="shared" si="42"/>
        <v>8.644410483404128</v>
      </c>
      <c r="N152" s="41">
        <f t="shared" si="57"/>
        <v>0.2482188988546028</v>
      </c>
      <c r="O152" s="41">
        <f t="shared" si="58"/>
        <v>6.7894884371173285</v>
      </c>
      <c r="P152" s="228">
        <f t="shared" si="59"/>
        <v>166.07723387222032</v>
      </c>
      <c r="Q152" s="41">
        <f t="shared" si="60"/>
        <v>2837.6063654247741</v>
      </c>
      <c r="R152" s="41">
        <f t="shared" si="61"/>
        <v>1280.6779253441746</v>
      </c>
      <c r="S152" s="215">
        <f t="shared" si="43"/>
        <v>0.32634365471262089</v>
      </c>
      <c r="T152" s="215">
        <f t="shared" si="44"/>
        <v>0.36846516861459028</v>
      </c>
      <c r="U152" s="230">
        <f t="shared" si="62"/>
        <v>8.5844104834041293</v>
      </c>
      <c r="V152" s="230">
        <f t="shared" si="45"/>
        <v>8.6044104834041288</v>
      </c>
      <c r="W152" s="41">
        <f t="shared" si="63"/>
        <v>-0.23870376083986855</v>
      </c>
      <c r="X152" s="41">
        <f t="shared" si="64"/>
        <v>2797.2918526052804</v>
      </c>
      <c r="Y152" s="41">
        <f t="shared" si="65"/>
        <v>164.54382226670791</v>
      </c>
      <c r="Z152" s="41">
        <f t="shared" si="66"/>
        <v>1279.1686449647273</v>
      </c>
      <c r="AA152" s="230">
        <f t="shared" si="46"/>
        <v>0.32208679655248418</v>
      </c>
      <c r="AB152" s="230">
        <f t="shared" si="67"/>
        <v>-0.35211552102237381</v>
      </c>
      <c r="AC152" s="41">
        <f t="shared" si="68"/>
        <v>0.36846516861459028</v>
      </c>
      <c r="AD152" s="41">
        <f t="shared" si="47"/>
        <v>0.1085584294178956</v>
      </c>
      <c r="AE152" s="41">
        <f t="shared" si="69"/>
        <v>-3.7092857897940493E-3</v>
      </c>
      <c r="AF152" s="41">
        <f t="shared" si="48"/>
        <v>738.10167905059905</v>
      </c>
      <c r="AG152" s="41">
        <f t="shared" si="49"/>
        <v>711.60931722162377</v>
      </c>
      <c r="AH152" s="41">
        <f t="shared" si="70"/>
        <v>8.6650996317562967</v>
      </c>
      <c r="AI152" s="41">
        <f t="shared" si="50"/>
        <v>287.71103282315693</v>
      </c>
      <c r="AJ152" s="41">
        <f t="shared" si="71"/>
        <v>7.2711834063728649</v>
      </c>
      <c r="AK152" s="8">
        <f t="shared" si="74"/>
        <v>31.84453347119431</v>
      </c>
      <c r="AL152" s="42">
        <f t="shared" si="75"/>
        <v>2.0562434383859056</v>
      </c>
      <c r="AZ152" s="8"/>
    </row>
    <row r="153" spans="1:52" x14ac:dyDescent="0.25">
      <c r="A153" s="40"/>
      <c r="B153" s="41">
        <f t="shared" si="51"/>
        <v>738.10167905059905</v>
      </c>
      <c r="C153" s="41">
        <f t="shared" si="51"/>
        <v>711.60931722162377</v>
      </c>
      <c r="D153" s="41">
        <f t="shared" si="51"/>
        <v>8.6650996317562967</v>
      </c>
      <c r="E153" s="41">
        <f t="shared" si="72"/>
        <v>16</v>
      </c>
      <c r="F153" s="41">
        <f t="shared" si="52"/>
        <v>16</v>
      </c>
      <c r="G153" s="41">
        <f t="shared" si="53"/>
        <v>2979.946424512239</v>
      </c>
      <c r="H153" s="25">
        <f t="shared" si="73"/>
        <v>0.04</v>
      </c>
      <c r="I153" s="226">
        <f t="shared" si="54"/>
        <v>21.193889463180223</v>
      </c>
      <c r="J153" s="227">
        <f t="shared" si="76"/>
        <v>80</v>
      </c>
      <c r="K153" s="41">
        <f t="shared" si="55"/>
        <v>1</v>
      </c>
      <c r="L153" s="215">
        <f t="shared" si="56"/>
        <v>8.7050996317562959</v>
      </c>
      <c r="M153" s="215">
        <f t="shared" si="42"/>
        <v>8.6850996317562963</v>
      </c>
      <c r="N153" s="41">
        <f t="shared" si="57"/>
        <v>0.2494098537157825</v>
      </c>
      <c r="O153" s="41">
        <f t="shared" si="58"/>
        <v>6.7743053414556398</v>
      </c>
      <c r="P153" s="228">
        <f t="shared" si="59"/>
        <v>167.11966304102762</v>
      </c>
      <c r="Q153" s="41">
        <f t="shared" si="60"/>
        <v>2879.0000214978486</v>
      </c>
      <c r="R153" s="41">
        <f t="shared" si="61"/>
        <v>1281.686657388964</v>
      </c>
      <c r="S153" s="215">
        <f t="shared" si="43"/>
        <v>0.33158512287597963</v>
      </c>
      <c r="T153" s="215">
        <f t="shared" si="44"/>
        <v>0.37313629940272258</v>
      </c>
      <c r="U153" s="230">
        <f t="shared" si="62"/>
        <v>8.6250996317562976</v>
      </c>
      <c r="V153" s="230">
        <f t="shared" si="45"/>
        <v>8.6450996317562971</v>
      </c>
      <c r="W153" s="41">
        <f t="shared" si="63"/>
        <v>-0.23981006077357847</v>
      </c>
      <c r="X153" s="41">
        <f t="shared" si="64"/>
        <v>2838.304211942223</v>
      </c>
      <c r="Y153" s="41">
        <f t="shared" si="65"/>
        <v>165.58383890209419</v>
      </c>
      <c r="Z153" s="41">
        <f t="shared" si="66"/>
        <v>1280.1956331096098</v>
      </c>
      <c r="AA153" s="230">
        <f t="shared" si="46"/>
        <v>0.32727876851985016</v>
      </c>
      <c r="AB153" s="230">
        <f t="shared" si="67"/>
        <v>-0.35647761591519594</v>
      </c>
      <c r="AC153" s="41">
        <f t="shared" si="68"/>
        <v>0.37313629940272258</v>
      </c>
      <c r="AD153" s="41">
        <f t="shared" si="47"/>
        <v>0.10719943372978669</v>
      </c>
      <c r="AE153" s="41">
        <f t="shared" si="69"/>
        <v>-3.6650296600469856E-3</v>
      </c>
      <c r="AF153" s="41">
        <f t="shared" si="48"/>
        <v>737.97795260491216</v>
      </c>
      <c r="AG153" s="41">
        <f t="shared" si="49"/>
        <v>711.23618092222102</v>
      </c>
      <c r="AH153" s="41">
        <f t="shared" si="70"/>
        <v>8.7057924649662244</v>
      </c>
      <c r="AI153" s="41">
        <f t="shared" si="50"/>
        <v>291.12911276058003</v>
      </c>
      <c r="AJ153" s="41">
        <f t="shared" si="71"/>
        <v>7.3520526043619148</v>
      </c>
      <c r="AK153" s="8">
        <f t="shared" si="74"/>
        <v>32.699974044844048</v>
      </c>
      <c r="AL153" s="42">
        <f t="shared" si="75"/>
        <v>2.079533767406752</v>
      </c>
      <c r="AZ153" s="8"/>
    </row>
    <row r="154" spans="1:52" x14ac:dyDescent="0.25">
      <c r="A154" s="40"/>
      <c r="B154" s="41">
        <f t="shared" si="51"/>
        <v>737.97795260491216</v>
      </c>
      <c r="C154" s="41">
        <f t="shared" si="51"/>
        <v>711.23618092222102</v>
      </c>
      <c r="D154" s="41">
        <f t="shared" si="51"/>
        <v>8.7057924649662244</v>
      </c>
      <c r="E154" s="41">
        <f t="shared" si="72"/>
        <v>16</v>
      </c>
      <c r="F154" s="41">
        <f t="shared" si="52"/>
        <v>16</v>
      </c>
      <c r="G154" s="41">
        <f t="shared" si="53"/>
        <v>3021.9326881504562</v>
      </c>
      <c r="H154" s="25">
        <f t="shared" si="73"/>
        <v>0.04</v>
      </c>
      <c r="I154" s="226">
        <f t="shared" si="54"/>
        <v>21.393417346152912</v>
      </c>
      <c r="J154" s="227">
        <f t="shared" si="76"/>
        <v>80</v>
      </c>
      <c r="K154" s="41">
        <f t="shared" si="55"/>
        <v>1</v>
      </c>
      <c r="L154" s="215">
        <f t="shared" si="56"/>
        <v>8.7457924649662235</v>
      </c>
      <c r="M154" s="215">
        <f t="shared" si="42"/>
        <v>8.725792464966224</v>
      </c>
      <c r="N154" s="41">
        <f t="shared" si="57"/>
        <v>0.25060111568528498</v>
      </c>
      <c r="O154" s="41">
        <f t="shared" si="58"/>
        <v>6.7586828155802428</v>
      </c>
      <c r="P154" s="228">
        <f t="shared" si="59"/>
        <v>168.16381741455186</v>
      </c>
      <c r="Q154" s="41">
        <f t="shared" si="60"/>
        <v>2920.7871553555569</v>
      </c>
      <c r="R154" s="41">
        <f t="shared" si="61"/>
        <v>1282.6833578493658</v>
      </c>
      <c r="S154" s="215">
        <f t="shared" si="43"/>
        <v>0.33691347763176088</v>
      </c>
      <c r="T154" s="215">
        <f t="shared" si="44"/>
        <v>0.37793124612192902</v>
      </c>
      <c r="U154" s="230">
        <f t="shared" si="62"/>
        <v>8.6657924649662252</v>
      </c>
      <c r="V154" s="230">
        <f t="shared" si="45"/>
        <v>8.6857924649662248</v>
      </c>
      <c r="W154" s="41">
        <f t="shared" si="63"/>
        <v>-0.24091626164111091</v>
      </c>
      <c r="X154" s="41">
        <f t="shared" si="64"/>
        <v>2879.7082196011615</v>
      </c>
      <c r="Y154" s="41">
        <f t="shared" si="65"/>
        <v>166.62558805787305</v>
      </c>
      <c r="Z154" s="41">
        <f t="shared" si="66"/>
        <v>1281.2102746202861</v>
      </c>
      <c r="AA154" s="230">
        <f t="shared" si="46"/>
        <v>0.3325569340976649</v>
      </c>
      <c r="AB154" s="230">
        <f t="shared" si="67"/>
        <v>-0.36095402581703268</v>
      </c>
      <c r="AC154" s="41">
        <f t="shared" si="68"/>
        <v>0.37793124612192902</v>
      </c>
      <c r="AD154" s="41">
        <f t="shared" si="47"/>
        <v>0.10583935678897297</v>
      </c>
      <c r="AE154" s="41">
        <f t="shared" si="69"/>
        <v>-3.6217167122130156E-3</v>
      </c>
      <c r="AF154" s="41">
        <f t="shared" si="48"/>
        <v>737.85062247447547</v>
      </c>
      <c r="AG154" s="41">
        <f t="shared" si="49"/>
        <v>710.85824967609915</v>
      </c>
      <c r="AH154" s="41">
        <f t="shared" si="70"/>
        <v>8.7464889813597413</v>
      </c>
      <c r="AI154" s="41">
        <f t="shared" si="50"/>
        <v>294.64110827444915</v>
      </c>
      <c r="AJ154" s="41">
        <f t="shared" si="71"/>
        <v>7.4338973566603732</v>
      </c>
      <c r="AK154" s="8">
        <f t="shared" si="74"/>
        <v>33.577988761960817</v>
      </c>
      <c r="AL154" s="42">
        <f t="shared" si="75"/>
        <v>2.1031050560687081</v>
      </c>
      <c r="AZ154" s="8"/>
    </row>
    <row r="155" spans="1:52" x14ac:dyDescent="0.25">
      <c r="A155" s="40"/>
      <c r="B155" s="41">
        <f t="shared" si="51"/>
        <v>737.85062247447547</v>
      </c>
      <c r="C155" s="41">
        <f t="shared" si="51"/>
        <v>710.85824967609915</v>
      </c>
      <c r="D155" s="41">
        <f t="shared" si="51"/>
        <v>8.7464889813597413</v>
      </c>
      <c r="E155" s="41">
        <f t="shared" si="72"/>
        <v>16</v>
      </c>
      <c r="F155" s="41">
        <f t="shared" si="52"/>
        <v>16</v>
      </c>
      <c r="G155" s="41">
        <f t="shared" si="53"/>
        <v>3064.315342493102</v>
      </c>
      <c r="H155" s="25">
        <f t="shared" si="73"/>
        <v>0.04</v>
      </c>
      <c r="I155" s="226">
        <f t="shared" si="54"/>
        <v>21.593898238701058</v>
      </c>
      <c r="J155" s="227">
        <f t="shared" si="76"/>
        <v>80</v>
      </c>
      <c r="K155" s="41">
        <f t="shared" si="55"/>
        <v>1</v>
      </c>
      <c r="L155" s="215">
        <f t="shared" si="56"/>
        <v>8.7864889813597404</v>
      </c>
      <c r="M155" s="215">
        <f t="shared" si="42"/>
        <v>8.7664889813597409</v>
      </c>
      <c r="N155" s="41">
        <f t="shared" si="57"/>
        <v>0.25179268476826167</v>
      </c>
      <c r="O155" s="41">
        <f t="shared" si="58"/>
        <v>6.7426052644437693</v>
      </c>
      <c r="P155" s="228">
        <f t="shared" si="59"/>
        <v>169.2096923284715</v>
      </c>
      <c r="Q155" s="41">
        <f t="shared" si="60"/>
        <v>2962.9696974851126</v>
      </c>
      <c r="R155" s="41">
        <f t="shared" si="61"/>
        <v>1283.6682323364271</v>
      </c>
      <c r="S155" s="215">
        <f t="shared" si="43"/>
        <v>0.34233135651853952</v>
      </c>
      <c r="T155" s="215">
        <f t="shared" si="44"/>
        <v>0.38285645402730784</v>
      </c>
      <c r="U155" s="230">
        <f t="shared" si="62"/>
        <v>8.7064889813597421</v>
      </c>
      <c r="V155" s="230">
        <f t="shared" si="45"/>
        <v>8.7264889813597417</v>
      </c>
      <c r="W155" s="41">
        <f t="shared" si="63"/>
        <v>-0.24202236334279803</v>
      </c>
      <c r="X155" s="41">
        <f t="shared" si="64"/>
        <v>2921.5058055975501</v>
      </c>
      <c r="Y155" s="41">
        <f t="shared" si="65"/>
        <v>167.6690650132781</v>
      </c>
      <c r="Z155" s="41">
        <f t="shared" si="66"/>
        <v>1282.212782177596</v>
      </c>
      <c r="AA155" s="230">
        <f t="shared" si="46"/>
        <v>0.33792390592485611</v>
      </c>
      <c r="AB155" s="230">
        <f t="shared" si="67"/>
        <v>-0.36555067538102221</v>
      </c>
      <c r="AC155" s="41">
        <f t="shared" si="68"/>
        <v>0.38285645402730784</v>
      </c>
      <c r="AD155" s="41">
        <f t="shared" si="47"/>
        <v>0.10447779991491782</v>
      </c>
      <c r="AE155" s="41">
        <f t="shared" si="69"/>
        <v>-3.5793346127653302E-3</v>
      </c>
      <c r="AF155" s="41">
        <f t="shared" si="48"/>
        <v>737.7195587052164</v>
      </c>
      <c r="AG155" s="41">
        <f t="shared" si="49"/>
        <v>710.47539322207183</v>
      </c>
      <c r="AH155" s="41">
        <f t="shared" si="70"/>
        <v>8.787189179289971</v>
      </c>
      <c r="AI155" s="41">
        <f t="shared" si="50"/>
        <v>298.25187255001555</v>
      </c>
      <c r="AJ155" s="41">
        <f t="shared" si="71"/>
        <v>7.5167450990353775</v>
      </c>
      <c r="AK155" s="8">
        <f t="shared" si="74"/>
        <v>34.47928584492179</v>
      </c>
      <c r="AL155" s="42">
        <f t="shared" si="75"/>
        <v>2.1269652058727093</v>
      </c>
      <c r="AZ155" s="8"/>
    </row>
    <row r="156" spans="1:52" x14ac:dyDescent="0.25">
      <c r="A156" s="40"/>
      <c r="B156" s="41">
        <f t="shared" si="51"/>
        <v>737.7195587052164</v>
      </c>
      <c r="C156" s="41">
        <f t="shared" si="51"/>
        <v>710.47539322207183</v>
      </c>
      <c r="D156" s="41">
        <f t="shared" si="51"/>
        <v>8.787189179289971</v>
      </c>
      <c r="E156" s="41">
        <f t="shared" si="72"/>
        <v>16</v>
      </c>
      <c r="F156" s="41">
        <f t="shared" si="52"/>
        <v>16</v>
      </c>
      <c r="G156" s="41">
        <f t="shared" si="53"/>
        <v>3107.096319558269</v>
      </c>
      <c r="H156" s="25">
        <f t="shared" si="73"/>
        <v>0.04</v>
      </c>
      <c r="I156" s="226">
        <f t="shared" si="54"/>
        <v>21.795332386515657</v>
      </c>
      <c r="J156" s="227">
        <f t="shared" si="76"/>
        <v>80</v>
      </c>
      <c r="K156" s="41">
        <f t="shared" si="55"/>
        <v>1</v>
      </c>
      <c r="L156" s="215">
        <f t="shared" si="56"/>
        <v>8.8271891792899702</v>
      </c>
      <c r="M156" s="215">
        <f t="shared" si="42"/>
        <v>8.8071891792899706</v>
      </c>
      <c r="N156" s="41">
        <f t="shared" si="57"/>
        <v>0.25298456097057453</v>
      </c>
      <c r="O156" s="41">
        <f t="shared" si="58"/>
        <v>6.7260562791786578</v>
      </c>
      <c r="P156" s="228">
        <f t="shared" si="59"/>
        <v>170.25728315535397</v>
      </c>
      <c r="Q156" s="41">
        <f t="shared" si="60"/>
        <v>3005.5495793393907</v>
      </c>
      <c r="R156" s="41">
        <f t="shared" si="61"/>
        <v>1284.6414818860844</v>
      </c>
      <c r="S156" s="215">
        <f t="shared" si="43"/>
        <v>0.34784155030139496</v>
      </c>
      <c r="T156" s="215">
        <f t="shared" si="44"/>
        <v>0.38791885789027392</v>
      </c>
      <c r="U156" s="230">
        <f t="shared" si="62"/>
        <v>8.7471891792899719</v>
      </c>
      <c r="V156" s="230">
        <f t="shared" si="45"/>
        <v>8.7671891792899714</v>
      </c>
      <c r="W156" s="41">
        <f t="shared" si="63"/>
        <v>-0.24312836577978914</v>
      </c>
      <c r="X156" s="41">
        <f t="shared" si="64"/>
        <v>2963.6989009124982</v>
      </c>
      <c r="Y156" s="41">
        <f t="shared" si="65"/>
        <v>168.7142650851232</v>
      </c>
      <c r="Z156" s="41">
        <f t="shared" si="66"/>
        <v>1283.2033636920512</v>
      </c>
      <c r="AA156" s="230">
        <f t="shared" si="46"/>
        <v>0.34338244833281983</v>
      </c>
      <c r="AB156" s="230">
        <f t="shared" si="67"/>
        <v>-0.37027393672690562</v>
      </c>
      <c r="AC156" s="41">
        <f t="shared" si="68"/>
        <v>0.38791885789027392</v>
      </c>
      <c r="AD156" s="41">
        <f t="shared" si="47"/>
        <v>0.10311434772092037</v>
      </c>
      <c r="AE156" s="41">
        <f t="shared" si="69"/>
        <v>-3.5378719917880212E-3</v>
      </c>
      <c r="AF156" s="41">
        <f t="shared" si="48"/>
        <v>737.58462440829669</v>
      </c>
      <c r="AG156" s="41">
        <f t="shared" si="49"/>
        <v>710.0874743641815</v>
      </c>
      <c r="AH156" s="41">
        <f t="shared" si="70"/>
        <v>8.8278930571366949</v>
      </c>
      <c r="AI156" s="41">
        <f t="shared" si="50"/>
        <v>301.96662910241645</v>
      </c>
      <c r="AJ156" s="41">
        <f t="shared" si="71"/>
        <v>7.6006247182304936</v>
      </c>
      <c r="AK156" s="8">
        <f t="shared" si="74"/>
        <v>35.404606819401252</v>
      </c>
      <c r="AL156" s="42">
        <f t="shared" si="75"/>
        <v>2.1511225362009028</v>
      </c>
      <c r="AZ156" s="8"/>
    </row>
    <row r="157" spans="1:52" x14ac:dyDescent="0.25">
      <c r="A157" s="40"/>
      <c r="B157" s="41">
        <f t="shared" si="51"/>
        <v>737.58462440829669</v>
      </c>
      <c r="C157" s="41">
        <f t="shared" si="51"/>
        <v>710.0874743641815</v>
      </c>
      <c r="D157" s="41">
        <f t="shared" si="51"/>
        <v>8.8278930571366949</v>
      </c>
      <c r="E157" s="41">
        <f t="shared" si="72"/>
        <v>16</v>
      </c>
      <c r="F157" s="41">
        <f t="shared" si="52"/>
        <v>16</v>
      </c>
      <c r="G157" s="41">
        <f t="shared" si="53"/>
        <v>3150.2775523299997</v>
      </c>
      <c r="H157" s="25">
        <f t="shared" si="73"/>
        <v>0.04</v>
      </c>
      <c r="I157" s="226">
        <f t="shared" si="54"/>
        <v>21.997720035292151</v>
      </c>
      <c r="J157" s="227">
        <f t="shared" si="76"/>
        <v>80</v>
      </c>
      <c r="K157" s="41">
        <f t="shared" si="55"/>
        <v>1</v>
      </c>
      <c r="L157" s="215">
        <f t="shared" si="56"/>
        <v>8.8678930571366941</v>
      </c>
      <c r="M157" s="215">
        <f t="shared" si="42"/>
        <v>8.8478930571366945</v>
      </c>
      <c r="N157" s="41">
        <f t="shared" si="57"/>
        <v>0.25417674429883164</v>
      </c>
      <c r="O157" s="41">
        <f t="shared" si="58"/>
        <v>6.7090185752875957</v>
      </c>
      <c r="P157" s="228">
        <f t="shared" si="59"/>
        <v>171.30658530419922</v>
      </c>
      <c r="Q157" s="41">
        <f t="shared" si="60"/>
        <v>3048.5287333370411</v>
      </c>
      <c r="R157" s="41">
        <f t="shared" si="61"/>
        <v>1285.6033030845053</v>
      </c>
      <c r="S157" s="215">
        <f t="shared" si="43"/>
        <v>0.35344701550464586</v>
      </c>
      <c r="T157" s="215">
        <f t="shared" si="44"/>
        <v>0.39312593150771857</v>
      </c>
      <c r="U157" s="230">
        <f t="shared" si="62"/>
        <v>8.7878930571366958</v>
      </c>
      <c r="V157" s="230">
        <f t="shared" si="45"/>
        <v>8.8078930571366953</v>
      </c>
      <c r="W157" s="41">
        <f t="shared" si="63"/>
        <v>-0.24423426885397248</v>
      </c>
      <c r="X157" s="41">
        <f t="shared" si="64"/>
        <v>3006.2894374928801</v>
      </c>
      <c r="Y157" s="41">
        <f t="shared" si="65"/>
        <v>169.76118362733445</v>
      </c>
      <c r="Z157" s="41">
        <f t="shared" si="66"/>
        <v>1284.182222435569</v>
      </c>
      <c r="AA157" s="230">
        <f t="shared" si="46"/>
        <v>0.34893548975115513</v>
      </c>
      <c r="AB157" s="230">
        <f t="shared" si="67"/>
        <v>-0.37513067447129494</v>
      </c>
      <c r="AC157" s="41">
        <f t="shared" si="68"/>
        <v>0.39312593150771857</v>
      </c>
      <c r="AD157" s="41">
        <f t="shared" si="47"/>
        <v>0.10174856653844176</v>
      </c>
      <c r="AE157" s="41">
        <f t="shared" si="69"/>
        <v>-3.4973184662849309E-3</v>
      </c>
      <c r="AF157" s="41">
        <f t="shared" si="48"/>
        <v>737.44567522108775</v>
      </c>
      <c r="AG157" s="41">
        <f t="shared" si="49"/>
        <v>709.69434843267379</v>
      </c>
      <c r="AH157" s="41">
        <f t="shared" si="70"/>
        <v>8.8686006133058939</v>
      </c>
      <c r="AI157" s="41">
        <f t="shared" si="50"/>
        <v>305.7910092207328</v>
      </c>
      <c r="AJ157" s="41">
        <f t="shared" si="71"/>
        <v>7.6855666652362524</v>
      </c>
      <c r="AK157" s="8">
        <f t="shared" si="74"/>
        <v>36.354728938705001</v>
      </c>
      <c r="AL157" s="42">
        <f t="shared" si="75"/>
        <v>2.1755858169385616</v>
      </c>
      <c r="AZ157" s="8"/>
    </row>
    <row r="158" spans="1:52" x14ac:dyDescent="0.25">
      <c r="A158" s="40"/>
      <c r="B158" s="41">
        <f t="shared" ref="B158:D189" si="77">AF157</f>
        <v>737.44567522108775</v>
      </c>
      <c r="C158" s="41">
        <f t="shared" si="77"/>
        <v>709.69434843267379</v>
      </c>
      <c r="D158" s="41">
        <f t="shared" si="77"/>
        <v>8.8686006133058939</v>
      </c>
      <c r="E158" s="41">
        <f t="shared" si="72"/>
        <v>16</v>
      </c>
      <c r="F158" s="41">
        <f t="shared" si="52"/>
        <v>16</v>
      </c>
      <c r="G158" s="41">
        <f t="shared" si="53"/>
        <v>3193.8609747585515</v>
      </c>
      <c r="H158" s="25">
        <f t="shared" si="73"/>
        <v>0.04</v>
      </c>
      <c r="I158" s="226">
        <f t="shared" si="54"/>
        <v>22.201061430731173</v>
      </c>
      <c r="J158" s="227">
        <f t="shared" si="76"/>
        <v>80</v>
      </c>
      <c r="K158" s="41">
        <f t="shared" si="55"/>
        <v>1</v>
      </c>
      <c r="L158" s="215">
        <f t="shared" si="56"/>
        <v>8.908600613305893</v>
      </c>
      <c r="M158" s="215">
        <f t="shared" si="42"/>
        <v>8.8886006133058935</v>
      </c>
      <c r="N158" s="41">
        <f t="shared" si="57"/>
        <v>0.2553692347604084</v>
      </c>
      <c r="O158" s="41">
        <f t="shared" si="58"/>
        <v>6.69147392458268</v>
      </c>
      <c r="P158" s="228">
        <f t="shared" si="59"/>
        <v>172.35759421999487</v>
      </c>
      <c r="Q158" s="41">
        <f t="shared" si="60"/>
        <v>3091.9090928627716</v>
      </c>
      <c r="R158" s="41">
        <f t="shared" si="61"/>
        <v>1286.5538881893565</v>
      </c>
      <c r="S158" s="215">
        <f t="shared" si="43"/>
        <v>0.35915088826812869</v>
      </c>
      <c r="T158" s="215">
        <f t="shared" si="44"/>
        <v>0.39848574350096605</v>
      </c>
      <c r="U158" s="230">
        <f t="shared" si="62"/>
        <v>8.8286006133058947</v>
      </c>
      <c r="V158" s="230">
        <f t="shared" si="45"/>
        <v>8.8486006133058943</v>
      </c>
      <c r="W158" s="41">
        <f t="shared" si="63"/>
        <v>-0.2453400724679824</v>
      </c>
      <c r="X158" s="41">
        <f t="shared" si="64"/>
        <v>3049.279348251619</v>
      </c>
      <c r="Y158" s="41">
        <f t="shared" si="65"/>
        <v>170.80981603049435</v>
      </c>
      <c r="Z158" s="41">
        <f t="shared" si="66"/>
        <v>1285.1495571688963</v>
      </c>
      <c r="AA158" s="230">
        <f t="shared" si="46"/>
        <v>0.35458613642338177</v>
      </c>
      <c r="AB158" s="230">
        <f t="shared" si="67"/>
        <v>-0.38012829645215335</v>
      </c>
      <c r="AC158" s="41">
        <f t="shared" ref="AC158:AC189" si="78">delta_z(N158,S158,H158,AE157,AB158)</f>
        <v>0.39848574350096605</v>
      </c>
      <c r="AD158" s="41">
        <f t="shared" si="47"/>
        <v>0.10038000267857269</v>
      </c>
      <c r="AE158" s="41">
        <f t="shared" si="69"/>
        <v>-3.4576646683591519E-3</v>
      </c>
      <c r="AF158" s="41">
        <f t="shared" si="48"/>
        <v>737.30255871234715</v>
      </c>
      <c r="AG158" s="41">
        <f t="shared" si="49"/>
        <v>709.29586268917285</v>
      </c>
      <c r="AH158" s="41">
        <f t="shared" si="70"/>
        <v>8.9093118462293361</v>
      </c>
      <c r="AI158" s="41">
        <f t="shared" si="50"/>
        <v>309.73109417264959</v>
      </c>
      <c r="AJ158" s="41">
        <f t="shared" si="71"/>
        <v>7.7716030802842102</v>
      </c>
      <c r="AK158" s="8">
        <f t="shared" si="74"/>
        <v>37.330467851935708</v>
      </c>
      <c r="AL158" s="42">
        <f t="shared" si="75"/>
        <v>2.2003643044723735</v>
      </c>
      <c r="AZ158" s="8"/>
    </row>
    <row r="159" spans="1:52" x14ac:dyDescent="0.25">
      <c r="A159" s="40"/>
      <c r="B159" s="41">
        <f t="shared" si="77"/>
        <v>737.30255871234715</v>
      </c>
      <c r="C159" s="41">
        <f t="shared" si="77"/>
        <v>709.29586268917285</v>
      </c>
      <c r="D159" s="41">
        <f t="shared" si="77"/>
        <v>8.9093118462293361</v>
      </c>
      <c r="E159" s="41">
        <f t="shared" si="72"/>
        <v>16</v>
      </c>
      <c r="F159" s="41">
        <f t="shared" si="52"/>
        <v>16</v>
      </c>
      <c r="G159" s="41">
        <f t="shared" si="53"/>
        <v>3237.8485217607536</v>
      </c>
      <c r="H159" s="25">
        <f t="shared" ref="H159:H190" si="79">dv(S158)</f>
        <v>0.04</v>
      </c>
      <c r="I159" s="226">
        <f t="shared" si="54"/>
        <v>22.405356818539442</v>
      </c>
      <c r="J159" s="227">
        <f t="shared" si="76"/>
        <v>80</v>
      </c>
      <c r="K159" s="41">
        <f t="shared" si="55"/>
        <v>1</v>
      </c>
      <c r="L159" s="215">
        <f t="shared" si="56"/>
        <v>8.9493118462293353</v>
      </c>
      <c r="M159" s="215">
        <f t="shared" si="42"/>
        <v>8.9293118462293357</v>
      </c>
      <c r="N159" s="41">
        <f t="shared" si="57"/>
        <v>0.25656203236343345</v>
      </c>
      <c r="O159" s="41">
        <f t="shared" si="58"/>
        <v>6.6734030800790336</v>
      </c>
      <c r="P159" s="228">
        <f t="shared" si="59"/>
        <v>173.41030538327971</v>
      </c>
      <c r="Q159" s="41">
        <f t="shared" si="60"/>
        <v>3135.6925922676742</v>
      </c>
      <c r="R159" s="41">
        <f t="shared" si="61"/>
        <v>1287.4934252471503</v>
      </c>
      <c r="S159" s="215">
        <f t="shared" si="43"/>
        <v>0.36495649970052152</v>
      </c>
      <c r="T159" s="215">
        <f t="shared" si="44"/>
        <v>0.40400702037331621</v>
      </c>
      <c r="U159" s="230">
        <f t="shared" si="62"/>
        <v>8.869311846229337</v>
      </c>
      <c r="V159" s="230">
        <f t="shared" si="45"/>
        <v>8.8893118462293366</v>
      </c>
      <c r="W159" s="41">
        <f t="shared" si="63"/>
        <v>-0.24644577652517796</v>
      </c>
      <c r="X159" s="41">
        <f t="shared" si="64"/>
        <v>3092.670567068008</v>
      </c>
      <c r="Y159" s="41">
        <f t="shared" si="65"/>
        <v>171.86015772139362</v>
      </c>
      <c r="Z159" s="41">
        <f t="shared" si="66"/>
        <v>1286.1055622648773</v>
      </c>
      <c r="AA159" s="230">
        <f t="shared" si="46"/>
        <v>0.36033768760434959</v>
      </c>
      <c r="AB159" s="230">
        <f t="shared" si="67"/>
        <v>-0.38527481102051209</v>
      </c>
      <c r="AC159" s="41">
        <f t="shared" si="78"/>
        <v>0.40400702037331621</v>
      </c>
      <c r="AD159" s="41">
        <f t="shared" si="47"/>
        <v>9.9008180508939281E-2</v>
      </c>
      <c r="AE159" s="41">
        <f t="shared" si="69"/>
        <v>-3.4189022789701353E-3</v>
      </c>
      <c r="AF159" s="41">
        <f t="shared" si="48"/>
        <v>737.1551137243373</v>
      </c>
      <c r="AG159" s="41">
        <f t="shared" si="49"/>
        <v>708.89185566879951</v>
      </c>
      <c r="AH159" s="41">
        <f t="shared" si="70"/>
        <v>8.9500267543640888</v>
      </c>
      <c r="AI159" s="41">
        <f t="shared" si="50"/>
        <v>313.7934629031306</v>
      </c>
      <c r="AJ159" s="41">
        <f t="shared" si="71"/>
        <v>7.8587679310906351</v>
      </c>
      <c r="AK159" s="8">
        <f t="shared" si="74"/>
        <v>38.332680547236365</v>
      </c>
      <c r="AL159" s="42">
        <f t="shared" si="75"/>
        <v>2.2254677815046238</v>
      </c>
      <c r="AZ159" s="8"/>
    </row>
    <row r="160" spans="1:52" x14ac:dyDescent="0.25">
      <c r="A160" s="40"/>
      <c r="B160" s="41">
        <f t="shared" si="77"/>
        <v>737.1551137243373</v>
      </c>
      <c r="C160" s="41">
        <f t="shared" si="77"/>
        <v>708.89185566879951</v>
      </c>
      <c r="D160" s="41">
        <f t="shared" si="77"/>
        <v>8.9500267543640888</v>
      </c>
      <c r="E160" s="41">
        <f t="shared" si="72"/>
        <v>16</v>
      </c>
      <c r="F160" s="41">
        <f t="shared" si="52"/>
        <v>16</v>
      </c>
      <c r="G160" s="41">
        <f t="shared" si="53"/>
        <v>3282.2421292202121</v>
      </c>
      <c r="H160" s="25">
        <f t="shared" si="79"/>
        <v>0.04</v>
      </c>
      <c r="I160" s="226">
        <f t="shared" si="54"/>
        <v>22.610606444430232</v>
      </c>
      <c r="J160" s="227">
        <f t="shared" si="76"/>
        <v>80</v>
      </c>
      <c r="K160" s="41">
        <f t="shared" si="55"/>
        <v>1</v>
      </c>
      <c r="L160" s="215">
        <f t="shared" si="56"/>
        <v>8.9900267543640879</v>
      </c>
      <c r="M160" s="215">
        <f t="shared" si="42"/>
        <v>8.9700267543640884</v>
      </c>
      <c r="N160" s="41">
        <f t="shared" si="57"/>
        <v>0.25775513711674591</v>
      </c>
      <c r="O160" s="41">
        <f t="shared" si="58"/>
        <v>6.6547856929263229</v>
      </c>
      <c r="P160" s="228">
        <f t="shared" si="59"/>
        <v>174.46471430971241</v>
      </c>
      <c r="Q160" s="41">
        <f t="shared" si="60"/>
        <v>3179.881166869457</v>
      </c>
      <c r="R160" s="41">
        <f t="shared" si="61"/>
        <v>1288.4220982068152</v>
      </c>
      <c r="S160" s="215">
        <f t="shared" si="43"/>
        <v>0.37086739293058579</v>
      </c>
      <c r="T160" s="215">
        <f t="shared" si="44"/>
        <v>0.40969921797155712</v>
      </c>
      <c r="U160" s="230">
        <f t="shared" si="62"/>
        <v>8.9100267543640896</v>
      </c>
      <c r="V160" s="230">
        <f t="shared" si="45"/>
        <v>8.9300267543640892</v>
      </c>
      <c r="W160" s="41">
        <f t="shared" si="63"/>
        <v>-0.24755138092959328</v>
      </c>
      <c r="X160" s="41">
        <f t="shared" si="64"/>
        <v>3136.4650287879463</v>
      </c>
      <c r="Y160" s="41">
        <f t="shared" si="65"/>
        <v>172.91220416258963</v>
      </c>
      <c r="Z160" s="41">
        <f t="shared" si="66"/>
        <v>1287.0504278277226</v>
      </c>
      <c r="AA160" s="230">
        <f t="shared" si="46"/>
        <v>0.36619365243813978</v>
      </c>
      <c r="AB160" s="230">
        <f t="shared" si="67"/>
        <v>-0.39057889193107515</v>
      </c>
      <c r="AC160" s="41">
        <f t="shared" si="78"/>
        <v>0.40969921797155712</v>
      </c>
      <c r="AD160" s="41">
        <f t="shared" si="47"/>
        <v>9.7632600320894325E-2</v>
      </c>
      <c r="AE160" s="41">
        <f t="shared" si="69"/>
        <v>-3.3810240679559428E-3</v>
      </c>
      <c r="AF160" s="41">
        <f t="shared" si="48"/>
        <v>737.00316964348247</v>
      </c>
      <c r="AG160" s="41">
        <f t="shared" si="49"/>
        <v>708.48215645082792</v>
      </c>
      <c r="AH160" s="41">
        <f t="shared" si="70"/>
        <v>8.9907453361919973</v>
      </c>
      <c r="AI160" s="41">
        <f t="shared" si="50"/>
        <v>317.98524609424459</v>
      </c>
      <c r="AJ160" s="41">
        <f t="shared" si="71"/>
        <v>7.9470971661168139</v>
      </c>
      <c r="AK160" s="8">
        <f t="shared" si="74"/>
        <v>39.362268606244342</v>
      </c>
      <c r="AL160" s="42">
        <f t="shared" si="75"/>
        <v>2.2509066011921632</v>
      </c>
      <c r="AZ160" s="8"/>
    </row>
    <row r="161" spans="1:52" x14ac:dyDescent="0.25">
      <c r="A161" s="40"/>
      <c r="B161" s="41">
        <f t="shared" si="77"/>
        <v>737.00316964348247</v>
      </c>
      <c r="C161" s="41">
        <f t="shared" si="77"/>
        <v>708.48215645082792</v>
      </c>
      <c r="D161" s="41">
        <f t="shared" si="77"/>
        <v>8.9907453361919973</v>
      </c>
      <c r="E161" s="41">
        <f t="shared" si="72"/>
        <v>16</v>
      </c>
      <c r="F161" s="41">
        <f t="shared" si="52"/>
        <v>16</v>
      </c>
      <c r="G161" s="41">
        <f t="shared" si="53"/>
        <v>3327.0437339875098</v>
      </c>
      <c r="H161" s="25">
        <f t="shared" si="79"/>
        <v>0.04</v>
      </c>
      <c r="I161" s="226">
        <f t="shared" si="54"/>
        <v>22.816810554123641</v>
      </c>
      <c r="J161" s="227">
        <f t="shared" si="76"/>
        <v>80</v>
      </c>
      <c r="K161" s="41">
        <f t="shared" si="55"/>
        <v>1</v>
      </c>
      <c r="L161" s="215">
        <f t="shared" si="56"/>
        <v>9.0307453361919965</v>
      </c>
      <c r="M161" s="215">
        <f t="shared" si="42"/>
        <v>9.0107453361919969</v>
      </c>
      <c r="N161" s="41">
        <f t="shared" si="57"/>
        <v>0.25894854902978892</v>
      </c>
      <c r="O161" s="41">
        <f t="shared" si="58"/>
        <v>6.6356002203170528</v>
      </c>
      <c r="P161" s="228">
        <f t="shared" si="59"/>
        <v>175.52081654964593</v>
      </c>
      <c r="Q161" s="41">
        <f t="shared" si="60"/>
        <v>3224.4767529526312</v>
      </c>
      <c r="R161" s="41">
        <f t="shared" si="61"/>
        <v>1289.3400870296273</v>
      </c>
      <c r="S161" s="215">
        <f t="shared" si="43"/>
        <v>0.37688734208968255</v>
      </c>
      <c r="T161" s="215">
        <f t="shared" si="44"/>
        <v>0.4155726027107261</v>
      </c>
      <c r="U161" s="230">
        <f t="shared" si="62"/>
        <v>8.9507453361919982</v>
      </c>
      <c r="V161" s="230">
        <f t="shared" si="45"/>
        <v>8.9707453361919978</v>
      </c>
      <c r="W161" s="41">
        <f t="shared" si="63"/>
        <v>-0.24865688558606536</v>
      </c>
      <c r="X161" s="41">
        <f t="shared" si="64"/>
        <v>3180.6646692241234</v>
      </c>
      <c r="Y161" s="41">
        <f t="shared" si="65"/>
        <v>173.96595085196958</v>
      </c>
      <c r="Z161" s="41">
        <f t="shared" si="66"/>
        <v>1287.9843398084301</v>
      </c>
      <c r="AA161" s="230">
        <f t="shared" si="46"/>
        <v>0.37215776874739781</v>
      </c>
      <c r="AB161" s="230">
        <f t="shared" si="67"/>
        <v>-0.39604995205558619</v>
      </c>
      <c r="AC161" s="41">
        <f t="shared" si="78"/>
        <v>0.4155726027107261</v>
      </c>
      <c r="AD161" s="41">
        <f t="shared" si="47"/>
        <v>9.625273595777295E-2</v>
      </c>
      <c r="AE161" s="41">
        <f t="shared" si="69"/>
        <v>-3.3440239410588114E-3</v>
      </c>
      <c r="AF161" s="41">
        <f t="shared" si="48"/>
        <v>736.84654558980151</v>
      </c>
      <c r="AG161" s="41">
        <f t="shared" si="49"/>
        <v>708.06658384811715</v>
      </c>
      <c r="AH161" s="41">
        <f t="shared" si="70"/>
        <v>9.0314675902193269</v>
      </c>
      <c r="AI161" s="41">
        <f t="shared" si="50"/>
        <v>322.31418761524696</v>
      </c>
      <c r="AJ161" s="41">
        <f t="shared" si="71"/>
        <v>8.0366288848988265</v>
      </c>
      <c r="AK161" s="8">
        <f t="shared" si="74"/>
        <v>40.420181811680493</v>
      </c>
      <c r="AL161" s="42">
        <f t="shared" si="75"/>
        <v>2.276691736201383</v>
      </c>
      <c r="AZ161" s="8"/>
    </row>
    <row r="162" spans="1:52" x14ac:dyDescent="0.25">
      <c r="A162" s="40"/>
      <c r="B162" s="41">
        <f t="shared" si="77"/>
        <v>736.84654558980151</v>
      </c>
      <c r="C162" s="41">
        <f t="shared" si="77"/>
        <v>708.06658384811715</v>
      </c>
      <c r="D162" s="41">
        <f t="shared" si="77"/>
        <v>9.0314675902193269</v>
      </c>
      <c r="E162" s="41">
        <f t="shared" si="72"/>
        <v>16</v>
      </c>
      <c r="F162" s="41">
        <f t="shared" si="52"/>
        <v>16</v>
      </c>
      <c r="G162" s="41">
        <f t="shared" si="53"/>
        <v>3372.2552738805625</v>
      </c>
      <c r="H162" s="25">
        <f t="shared" si="79"/>
        <v>0.04</v>
      </c>
      <c r="I162" s="226">
        <f t="shared" si="54"/>
        <v>23.023969393347489</v>
      </c>
      <c r="J162" s="227">
        <f t="shared" si="76"/>
        <v>80</v>
      </c>
      <c r="K162" s="41">
        <f t="shared" si="55"/>
        <v>1</v>
      </c>
      <c r="L162" s="215">
        <f t="shared" si="56"/>
        <v>9.071467590219326</v>
      </c>
      <c r="M162" s="215">
        <f t="shared" si="42"/>
        <v>9.0514675902193265</v>
      </c>
      <c r="N162" s="41">
        <f t="shared" si="57"/>
        <v>0.26014226811282981</v>
      </c>
      <c r="O162" s="41">
        <f t="shared" si="58"/>
        <v>6.6158238231389372</v>
      </c>
      <c r="P162" s="228">
        <f t="shared" si="59"/>
        <v>176.57860768771317</v>
      </c>
      <c r="Q162" s="41">
        <f t="shared" si="60"/>
        <v>3269.4812877688687</v>
      </c>
      <c r="R162" s="41">
        <f t="shared" si="61"/>
        <v>1290.2475677956477</v>
      </c>
      <c r="S162" s="215">
        <f t="shared" si="43"/>
        <v>0.38302037349757623</v>
      </c>
      <c r="T162" s="215">
        <f t="shared" si="44"/>
        <v>0.42163834418251711</v>
      </c>
      <c r="U162" s="230">
        <f t="shared" si="62"/>
        <v>8.9914675902193277</v>
      </c>
      <c r="V162" s="230">
        <f t="shared" si="45"/>
        <v>9.0114675902193273</v>
      </c>
      <c r="W162" s="41">
        <f t="shared" si="63"/>
        <v>-0.24976229039999964</v>
      </c>
      <c r="X162" s="41">
        <f t="shared" si="64"/>
        <v>3225.2714251563716</v>
      </c>
      <c r="Y162" s="41">
        <f t="shared" si="65"/>
        <v>175.02139332232636</v>
      </c>
      <c r="Z162" s="41">
        <f t="shared" si="66"/>
        <v>1288.9074801165036</v>
      </c>
      <c r="AA162" s="230">
        <f t="shared" si="46"/>
        <v>0.37823402400329986</v>
      </c>
      <c r="AB162" s="230">
        <f t="shared" si="67"/>
        <v>-0.40169822737506178</v>
      </c>
      <c r="AC162" s="41">
        <f t="shared" si="78"/>
        <v>0.42163834418251711</v>
      </c>
      <c r="AD162" s="41">
        <f t="shared" si="47"/>
        <v>9.4868032169970196E-2</v>
      </c>
      <c r="AE162" s="41">
        <f t="shared" si="69"/>
        <v>-3.3078969952344038E-3</v>
      </c>
      <c r="AF162" s="41">
        <f t="shared" si="48"/>
        <v>736.68504951373177</v>
      </c>
      <c r="AG162" s="41">
        <f t="shared" si="49"/>
        <v>707.64494550393465</v>
      </c>
      <c r="AH162" s="41">
        <f t="shared" si="70"/>
        <v>9.0721935149762754</v>
      </c>
      <c r="AI162" s="41">
        <f t="shared" si="50"/>
        <v>326.78871458977022</v>
      </c>
      <c r="AJ162" s="41">
        <f t="shared" si="71"/>
        <v>8.1274035278404302</v>
      </c>
      <c r="AK162" s="8">
        <f t="shared" si="74"/>
        <v>41.507422156894222</v>
      </c>
      <c r="AL162" s="42">
        <f t="shared" si="75"/>
        <v>2.3028348333685646</v>
      </c>
      <c r="AZ162" s="8"/>
    </row>
    <row r="163" spans="1:52" x14ac:dyDescent="0.25">
      <c r="A163" s="40"/>
      <c r="B163" s="41">
        <f t="shared" si="77"/>
        <v>736.68504951373177</v>
      </c>
      <c r="C163" s="41">
        <f t="shared" si="77"/>
        <v>707.64494550393465</v>
      </c>
      <c r="D163" s="41">
        <f t="shared" si="77"/>
        <v>9.0721935149762754</v>
      </c>
      <c r="E163" s="41">
        <f t="shared" si="72"/>
        <v>16</v>
      </c>
      <c r="F163" s="41">
        <f t="shared" si="52"/>
        <v>16</v>
      </c>
      <c r="G163" s="41">
        <f t="shared" si="53"/>
        <v>3417.8786876848289</v>
      </c>
      <c r="H163" s="25">
        <f t="shared" si="79"/>
        <v>0.04</v>
      </c>
      <c r="I163" s="226">
        <f t="shared" si="54"/>
        <v>23.232083207837697</v>
      </c>
      <c r="J163" s="227">
        <f t="shared" si="76"/>
        <v>80</v>
      </c>
      <c r="K163" s="41">
        <f t="shared" si="55"/>
        <v>1</v>
      </c>
      <c r="L163" s="215">
        <f t="shared" si="56"/>
        <v>9.1121935149762745</v>
      </c>
      <c r="M163" s="215">
        <f t="shared" si="42"/>
        <v>9.0921935149762749</v>
      </c>
      <c r="N163" s="41">
        <f t="shared" si="57"/>
        <v>0.26133629437678962</v>
      </c>
      <c r="O163" s="41">
        <f t="shared" si="58"/>
        <v>6.5954322519338646</v>
      </c>
      <c r="P163" s="228">
        <f t="shared" si="59"/>
        <v>177.63808334241546</v>
      </c>
      <c r="Q163" s="41">
        <f t="shared" si="60"/>
        <v>3314.8967095372054</v>
      </c>
      <c r="R163" s="41">
        <f t="shared" si="61"/>
        <v>1291.1447128067832</v>
      </c>
      <c r="S163" s="215">
        <f t="shared" si="43"/>
        <v>0.38927078936968457</v>
      </c>
      <c r="T163" s="215">
        <f t="shared" si="44"/>
        <v>0.42790862108441186</v>
      </c>
      <c r="U163" s="230">
        <f t="shared" si="62"/>
        <v>9.0321935149762762</v>
      </c>
      <c r="V163" s="230">
        <f t="shared" si="45"/>
        <v>9.0521935149762758</v>
      </c>
      <c r="W163" s="41">
        <f t="shared" si="63"/>
        <v>-0.25086759527753344</v>
      </c>
      <c r="X163" s="41">
        <f t="shared" si="64"/>
        <v>3270.2872343318722</v>
      </c>
      <c r="Y163" s="41">
        <f t="shared" si="65"/>
        <v>176.07852714093642</v>
      </c>
      <c r="Z163" s="41">
        <f t="shared" si="66"/>
        <v>1289.820026728104</v>
      </c>
      <c r="AA163" s="230">
        <f t="shared" si="46"/>
        <v>0.38442667879101394</v>
      </c>
      <c r="AB163" s="230">
        <f t="shared" si="67"/>
        <v>-0.40753487299421859</v>
      </c>
      <c r="AC163" s="41">
        <f t="shared" si="78"/>
        <v>0.42790862108441186</v>
      </c>
      <c r="AD163" s="41">
        <f t="shared" si="47"/>
        <v>9.3477901657207693E-2</v>
      </c>
      <c r="AE163" s="41">
        <f t="shared" si="69"/>
        <v>-3.2726395822642276E-3</v>
      </c>
      <c r="AF163" s="41">
        <f t="shared" si="48"/>
        <v>736.51847718702413</v>
      </c>
      <c r="AG163" s="41">
        <f t="shared" si="49"/>
        <v>707.21703688285027</v>
      </c>
      <c r="AH163" s="41">
        <f t="shared" si="70"/>
        <v>9.112923109016613</v>
      </c>
      <c r="AI163" s="41">
        <f t="shared" si="50"/>
        <v>331.41801754676538</v>
      </c>
      <c r="AJ163" s="41">
        <f t="shared" si="71"/>
        <v>8.2194640882700867</v>
      </c>
      <c r="AK163" s="8">
        <f t="shared" si="74"/>
        <v>42.625048314425342</v>
      </c>
      <c r="AL163" s="42">
        <f t="shared" si="75"/>
        <v>2.3293482747723058</v>
      </c>
      <c r="AZ163" s="8"/>
    </row>
    <row r="164" spans="1:52" x14ac:dyDescent="0.25">
      <c r="A164" s="40"/>
      <c r="B164" s="41">
        <f t="shared" si="77"/>
        <v>736.51847718702413</v>
      </c>
      <c r="C164" s="41">
        <f t="shared" si="77"/>
        <v>707.21703688285027</v>
      </c>
      <c r="D164" s="41">
        <f t="shared" si="77"/>
        <v>9.112923109016613</v>
      </c>
      <c r="E164" s="41">
        <f t="shared" si="72"/>
        <v>16</v>
      </c>
      <c r="F164" s="41">
        <f t="shared" si="52"/>
        <v>16</v>
      </c>
      <c r="G164" s="41">
        <f t="shared" si="53"/>
        <v>3463.9159151536214</v>
      </c>
      <c r="H164" s="25">
        <f t="shared" si="79"/>
        <v>0.04</v>
      </c>
      <c r="I164" s="226">
        <f t="shared" si="54"/>
        <v>23.441152243339094</v>
      </c>
      <c r="J164" s="227">
        <f t="shared" si="76"/>
        <v>80</v>
      </c>
      <c r="K164" s="41">
        <f t="shared" si="55"/>
        <v>1</v>
      </c>
      <c r="L164" s="215">
        <f t="shared" si="56"/>
        <v>9.1529231090166121</v>
      </c>
      <c r="M164" s="215">
        <f t="shared" si="42"/>
        <v>9.1329231090166125</v>
      </c>
      <c r="N164" s="41">
        <f t="shared" si="57"/>
        <v>0.26253062783313652</v>
      </c>
      <c r="O164" s="41">
        <f t="shared" si="58"/>
        <v>6.5743997194815806</v>
      </c>
      <c r="P164" s="228">
        <f t="shared" si="59"/>
        <v>178.69923916572151</v>
      </c>
      <c r="Q164" s="41">
        <f t="shared" si="60"/>
        <v>3360.7249574443676</v>
      </c>
      <c r="R164" s="41">
        <f t="shared" si="61"/>
        <v>1292.0316906866012</v>
      </c>
      <c r="S164" s="215">
        <f t="shared" si="43"/>
        <v>0.39564319441942186</v>
      </c>
      <c r="T164" s="215">
        <f t="shared" si="44"/>
        <v>0.43439674279986845</v>
      </c>
      <c r="U164" s="230">
        <f t="shared" si="62"/>
        <v>9.0729231090166138</v>
      </c>
      <c r="V164" s="230">
        <f t="shared" si="45"/>
        <v>9.0929231090166134</v>
      </c>
      <c r="W164" s="41">
        <f t="shared" si="63"/>
        <v>-0.25197280012542222</v>
      </c>
      <c r="X164" s="41">
        <f t="shared" si="64"/>
        <v>3315.7140354654885</v>
      </c>
      <c r="Y164" s="41">
        <f t="shared" si="65"/>
        <v>177.1373479091487</v>
      </c>
      <c r="Z164" s="41">
        <f t="shared" si="66"/>
        <v>1290.7221537907651</v>
      </c>
      <c r="AA164" s="230">
        <f t="shared" si="46"/>
        <v>0.39074029314043374</v>
      </c>
      <c r="AB164" s="230">
        <f t="shared" si="67"/>
        <v>-0.41357207326940748</v>
      </c>
      <c r="AC164" s="41">
        <f t="shared" si="78"/>
        <v>0.43439674279986845</v>
      </c>
      <c r="AD164" s="41">
        <f t="shared" si="47"/>
        <v>9.208172175091206E-2</v>
      </c>
      <c r="AE164" s="41">
        <f t="shared" si="69"/>
        <v>-3.2382493830410584E-3</v>
      </c>
      <c r="AF164" s="41">
        <f t="shared" si="48"/>
        <v>736.34661107205739</v>
      </c>
      <c r="AG164" s="41">
        <f t="shared" si="49"/>
        <v>706.78264014005038</v>
      </c>
      <c r="AH164" s="41">
        <f t="shared" si="70"/>
        <v>9.1536563709171954</v>
      </c>
      <c r="AI164" s="41">
        <f t="shared" si="50"/>
        <v>336.2121424196838</v>
      </c>
      <c r="AJ164" s="41">
        <f t="shared" si="71"/>
        <v>8.3128563500533321</v>
      </c>
      <c r="AK164" s="8">
        <f t="shared" si="74"/>
        <v>43.774180630542439</v>
      </c>
      <c r="AL164" s="42">
        <f t="shared" si="75"/>
        <v>2.3562452461658805</v>
      </c>
      <c r="AZ164" s="8"/>
    </row>
    <row r="165" spans="1:52" x14ac:dyDescent="0.25">
      <c r="A165" s="40"/>
      <c r="B165" s="41">
        <f t="shared" si="77"/>
        <v>736.34661107205739</v>
      </c>
      <c r="C165" s="41">
        <f t="shared" si="77"/>
        <v>706.78264014005038</v>
      </c>
      <c r="D165" s="41">
        <f t="shared" si="77"/>
        <v>9.1536563709171954</v>
      </c>
      <c r="E165" s="41">
        <f t="shared" si="72"/>
        <v>16</v>
      </c>
      <c r="F165" s="41">
        <f t="shared" si="52"/>
        <v>16</v>
      </c>
      <c r="G165" s="41">
        <f t="shared" si="53"/>
        <v>3510.3688970083272</v>
      </c>
      <c r="H165" s="25">
        <f t="shared" si="79"/>
        <v>0.04</v>
      </c>
      <c r="I165" s="226">
        <f t="shared" si="54"/>
        <v>23.651176745605611</v>
      </c>
      <c r="J165" s="227">
        <f t="shared" si="76"/>
        <v>80</v>
      </c>
      <c r="K165" s="41">
        <f t="shared" si="55"/>
        <v>1</v>
      </c>
      <c r="L165" s="215">
        <f t="shared" si="56"/>
        <v>9.1936563709171946</v>
      </c>
      <c r="M165" s="215">
        <f t="shared" si="42"/>
        <v>9.173656370917195</v>
      </c>
      <c r="N165" s="41">
        <f t="shared" si="57"/>
        <v>0.26372526849414868</v>
      </c>
      <c r="O165" s="41">
        <f t="shared" si="58"/>
        <v>6.552698758031779</v>
      </c>
      <c r="P165" s="228">
        <f t="shared" si="59"/>
        <v>179.76207084266824</v>
      </c>
      <c r="Q165" s="41">
        <f t="shared" si="60"/>
        <v>3406.9679716449723</v>
      </c>
      <c r="R165" s="41">
        <f t="shared" si="61"/>
        <v>1292.908666477013</v>
      </c>
      <c r="S165" s="215">
        <f t="shared" si="43"/>
        <v>0.4021425257960845</v>
      </c>
      <c r="T165" s="215">
        <f t="shared" si="44"/>
        <v>0.44111728944313239</v>
      </c>
      <c r="U165" s="230">
        <f t="shared" si="62"/>
        <v>9.1136563709171963</v>
      </c>
      <c r="V165" s="230">
        <f t="shared" si="45"/>
        <v>9.1336563709171958</v>
      </c>
      <c r="W165" s="41">
        <f t="shared" si="63"/>
        <v>-0.25307790485120307</v>
      </c>
      <c r="X165" s="41">
        <f t="shared" si="64"/>
        <v>3361.5537682399404</v>
      </c>
      <c r="Y165" s="41">
        <f t="shared" si="65"/>
        <v>178.19785126197613</v>
      </c>
      <c r="Z165" s="41">
        <f t="shared" si="66"/>
        <v>1291.6140317248005</v>
      </c>
      <c r="AA165" s="230">
        <f t="shared" si="46"/>
        <v>0.39717975615805923</v>
      </c>
      <c r="AB165" s="230">
        <f t="shared" si="67"/>
        <v>-0.41982316857553975</v>
      </c>
      <c r="AC165" s="41">
        <f t="shared" si="78"/>
        <v>0.44111728944313239</v>
      </c>
      <c r="AD165" s="41">
        <f t="shared" si="47"/>
        <v>9.067883068128231E-2</v>
      </c>
      <c r="AE165" s="41">
        <f t="shared" si="69"/>
        <v>-3.2047254937437124E-3</v>
      </c>
      <c r="AF165" s="41">
        <f t="shared" si="48"/>
        <v>736.16921905110837</v>
      </c>
      <c r="AG165" s="41">
        <f t="shared" si="49"/>
        <v>706.34152285060725</v>
      </c>
      <c r="AH165" s="41">
        <f t="shared" si="70"/>
        <v>9.1943932992775839</v>
      </c>
      <c r="AI165" s="41">
        <f t="shared" si="50"/>
        <v>341.18209652435274</v>
      </c>
      <c r="AJ165" s="41">
        <f t="shared" si="71"/>
        <v>8.4076291546434305</v>
      </c>
      <c r="AK165" s="8">
        <f t="shared" si="74"/>
        <v>44.956006724658621</v>
      </c>
      <c r="AL165" s="42">
        <f t="shared" si="75"/>
        <v>2.3835398138878285</v>
      </c>
      <c r="AZ165" s="8"/>
    </row>
    <row r="166" spans="1:52" x14ac:dyDescent="0.25">
      <c r="A166" s="40"/>
      <c r="B166" s="41">
        <f t="shared" si="77"/>
        <v>736.16921905110837</v>
      </c>
      <c r="C166" s="41">
        <f t="shared" si="77"/>
        <v>706.34152285060725</v>
      </c>
      <c r="D166" s="41">
        <f t="shared" si="77"/>
        <v>9.1943932992775839</v>
      </c>
      <c r="E166" s="41">
        <f t="shared" si="72"/>
        <v>16</v>
      </c>
      <c r="F166" s="41">
        <f t="shared" si="52"/>
        <v>16</v>
      </c>
      <c r="G166" s="41">
        <f t="shared" si="53"/>
        <v>3557.2395749386624</v>
      </c>
      <c r="H166" s="25">
        <f t="shared" si="79"/>
        <v>0.04</v>
      </c>
      <c r="I166" s="226">
        <f t="shared" si="54"/>
        <v>23.862156960400899</v>
      </c>
      <c r="J166" s="227">
        <f t="shared" si="76"/>
        <v>80</v>
      </c>
      <c r="K166" s="41">
        <f t="shared" si="55"/>
        <v>1</v>
      </c>
      <c r="L166" s="215">
        <f t="shared" si="56"/>
        <v>9.234393299277583</v>
      </c>
      <c r="M166" s="215">
        <f t="shared" si="42"/>
        <v>9.2143932992775834</v>
      </c>
      <c r="N166" s="41">
        <f t="shared" si="57"/>
        <v>0.26492021637261587</v>
      </c>
      <c r="O166" s="41">
        <f t="shared" si="58"/>
        <v>6.5303000588532836</v>
      </c>
      <c r="P166" s="228">
        <f t="shared" si="59"/>
        <v>180.82657409097183</v>
      </c>
      <c r="Q166" s="41">
        <f t="shared" si="60"/>
        <v>3453.6276932618043</v>
      </c>
      <c r="R166" s="41">
        <f t="shared" si="61"/>
        <v>1293.775801731942</v>
      </c>
      <c r="S166" s="215">
        <f t="shared" si="43"/>
        <v>0.40877408687974393</v>
      </c>
      <c r="T166" s="215">
        <f t="shared" si="44"/>
        <v>0.44808627378064664</v>
      </c>
      <c r="U166" s="230">
        <f t="shared" si="62"/>
        <v>9.1543932992775847</v>
      </c>
      <c r="V166" s="230">
        <f t="shared" si="45"/>
        <v>9.1743932992775843</v>
      </c>
      <c r="W166" s="41">
        <f t="shared" si="63"/>
        <v>-0.2541829093628607</v>
      </c>
      <c r="X166" s="41">
        <f t="shared" si="64"/>
        <v>3407.8083733061148</v>
      </c>
      <c r="Y166" s="41">
        <f t="shared" si="65"/>
        <v>179.26003286769648</v>
      </c>
      <c r="Z166" s="41">
        <f t="shared" si="66"/>
        <v>1292.4958273215229</v>
      </c>
      <c r="AA166" s="230">
        <f t="shared" si="46"/>
        <v>0.40375031947608903</v>
      </c>
      <c r="AB166" s="230">
        <f t="shared" si="67"/>
        <v>-0.42630280177176105</v>
      </c>
      <c r="AC166" s="41">
        <f t="shared" si="78"/>
        <v>0.44808627378064664</v>
      </c>
      <c r="AD166" s="41">
        <f t="shared" si="47"/>
        <v>8.9268523363831828E-2</v>
      </c>
      <c r="AE166" s="41">
        <f t="shared" si="69"/>
        <v>-3.1720685246412151E-3</v>
      </c>
      <c r="AF166" s="41">
        <f t="shared" si="48"/>
        <v>735.98605299370035</v>
      </c>
      <c r="AG166" s="41">
        <f t="shared" si="49"/>
        <v>705.89343657682662</v>
      </c>
      <c r="AH166" s="41">
        <f t="shared" si="70"/>
        <v>9.23513389271967</v>
      </c>
      <c r="AI166" s="41">
        <f t="shared" si="50"/>
        <v>346.33997109917027</v>
      </c>
      <c r="AJ166" s="41">
        <f t="shared" si="71"/>
        <v>8.5038347021709786</v>
      </c>
      <c r="AK166" s="8">
        <f t="shared" si="74"/>
        <v>46.171787786995914</v>
      </c>
      <c r="AL166" s="42">
        <f t="shared" si="75"/>
        <v>2.411247011575762</v>
      </c>
      <c r="AZ166" s="8"/>
    </row>
    <row r="167" spans="1:52" x14ac:dyDescent="0.25">
      <c r="A167" s="40"/>
      <c r="B167" s="41">
        <f t="shared" si="77"/>
        <v>735.98605299370035</v>
      </c>
      <c r="C167" s="41">
        <f t="shared" si="77"/>
        <v>705.89343657682662</v>
      </c>
      <c r="D167" s="41">
        <f t="shared" si="77"/>
        <v>9.23513389271967</v>
      </c>
      <c r="E167" s="41">
        <f t="shared" si="72"/>
        <v>16</v>
      </c>
      <c r="F167" s="41">
        <f t="shared" si="52"/>
        <v>16</v>
      </c>
      <c r="G167" s="41">
        <f t="shared" si="53"/>
        <v>3604.529891603021</v>
      </c>
      <c r="H167" s="25">
        <f t="shared" si="79"/>
        <v>0.04</v>
      </c>
      <c r="I167" s="226">
        <f t="shared" si="54"/>
        <v>24.074093133498991</v>
      </c>
      <c r="J167" s="227">
        <f t="shared" si="76"/>
        <v>80</v>
      </c>
      <c r="K167" s="41">
        <f t="shared" si="55"/>
        <v>1</v>
      </c>
      <c r="L167" s="215">
        <f t="shared" si="56"/>
        <v>9.2751338927196691</v>
      </c>
      <c r="M167" s="215">
        <f t="shared" si="42"/>
        <v>9.2551338927196696</v>
      </c>
      <c r="N167" s="41">
        <f t="shared" si="57"/>
        <v>0.26611547148213077</v>
      </c>
      <c r="O167" s="41">
        <f t="shared" si="58"/>
        <v>6.5071722913378984</v>
      </c>
      <c r="P167" s="228">
        <f t="shared" si="59"/>
        <v>181.8927446606439</v>
      </c>
      <c r="Q167" s="41">
        <f t="shared" si="60"/>
        <v>3500.7060643861264</v>
      </c>
      <c r="R167" s="41">
        <f t="shared" si="61"/>
        <v>1294.6332546080851</v>
      </c>
      <c r="S167" s="215">
        <f t="shared" si="43"/>
        <v>0.41554358555316262</v>
      </c>
      <c r="T167" s="215">
        <f t="shared" si="44"/>
        <v>0.45532132919440627</v>
      </c>
      <c r="U167" s="230">
        <f t="shared" si="62"/>
        <v>9.1951338927196709</v>
      </c>
      <c r="V167" s="230">
        <f t="shared" si="45"/>
        <v>9.2151338927196704</v>
      </c>
      <c r="W167" s="41">
        <f t="shared" si="63"/>
        <v>-0.25528781356912589</v>
      </c>
      <c r="X167" s="41">
        <f t="shared" si="64"/>
        <v>3454.4797922833404</v>
      </c>
      <c r="Y167" s="41">
        <f t="shared" si="65"/>
        <v>180.32388842745974</v>
      </c>
      <c r="Z167" s="41">
        <f t="shared" si="66"/>
        <v>1293.367703838391</v>
      </c>
      <c r="AA167" s="230">
        <f t="shared" si="46"/>
        <v>0.41045763513228417</v>
      </c>
      <c r="AB167" s="230">
        <f t="shared" si="67"/>
        <v>-0.43302708809808521</v>
      </c>
      <c r="AC167" s="41">
        <f t="shared" si="78"/>
        <v>0.45532132919440627</v>
      </c>
      <c r="AD167" s="41">
        <f t="shared" si="47"/>
        <v>8.7850046627008335E-2</v>
      </c>
      <c r="AE167" s="41">
        <f t="shared" si="69"/>
        <v>-3.1402807152657169E-3</v>
      </c>
      <c r="AF167" s="41">
        <f t="shared" si="48"/>
        <v>735.79684713598806</v>
      </c>
      <c r="AG167" s="41">
        <f t="shared" si="49"/>
        <v>705.43811524763225</v>
      </c>
      <c r="AH167" s="41">
        <f t="shared" si="70"/>
        <v>9.2758781498872551</v>
      </c>
      <c r="AI167" s="41">
        <f t="shared" si="50"/>
        <v>351.69908356188671</v>
      </c>
      <c r="AJ167" s="41">
        <f t="shared" si="71"/>
        <v>8.6015288920492807</v>
      </c>
      <c r="AK167" s="8">
        <f t="shared" si="74"/>
        <v>47.422865685511916</v>
      </c>
      <c r="AL167" s="42">
        <f t="shared" si="75"/>
        <v>2.4393829382607128</v>
      </c>
      <c r="AZ167" s="8"/>
    </row>
    <row r="168" spans="1:52" x14ac:dyDescent="0.25">
      <c r="A168" s="40"/>
      <c r="B168" s="41">
        <f t="shared" si="77"/>
        <v>735.79684713598806</v>
      </c>
      <c r="C168" s="41">
        <f t="shared" si="77"/>
        <v>705.43811524763225</v>
      </c>
      <c r="D168" s="41">
        <f t="shared" si="77"/>
        <v>9.2758781498872551</v>
      </c>
      <c r="E168" s="41">
        <f t="shared" si="72"/>
        <v>16</v>
      </c>
      <c r="F168" s="41">
        <f t="shared" si="52"/>
        <v>16</v>
      </c>
      <c r="G168" s="41">
        <f t="shared" si="53"/>
        <v>3652.2417906286341</v>
      </c>
      <c r="H168" s="25">
        <f t="shared" si="79"/>
        <v>0.04</v>
      </c>
      <c r="I168" s="226">
        <f t="shared" si="54"/>
        <v>24.286985510684644</v>
      </c>
      <c r="J168" s="227">
        <f t="shared" si="76"/>
        <v>80</v>
      </c>
      <c r="K168" s="41">
        <f t="shared" si="55"/>
        <v>1</v>
      </c>
      <c r="L168" s="215">
        <f t="shared" si="56"/>
        <v>9.3158781498872543</v>
      </c>
      <c r="M168" s="215">
        <f t="shared" si="42"/>
        <v>9.2958781498872547</v>
      </c>
      <c r="N168" s="41">
        <f t="shared" si="57"/>
        <v>0.26731103383669108</v>
      </c>
      <c r="O168" s="41">
        <f t="shared" si="58"/>
        <v>6.483281898370759</v>
      </c>
      <c r="P168" s="228">
        <f t="shared" si="59"/>
        <v>182.96057833361317</v>
      </c>
      <c r="Q168" s="41">
        <f t="shared" si="60"/>
        <v>3548.2050280778917</v>
      </c>
      <c r="R168" s="41">
        <f t="shared" si="61"/>
        <v>1295.4811799528682</v>
      </c>
      <c r="S168" s="215">
        <f t="shared" si="43"/>
        <v>0.42245717769136426</v>
      </c>
      <c r="T168" s="215">
        <f t="shared" si="44"/>
        <v>0.46284192879093822</v>
      </c>
      <c r="U168" s="230">
        <f t="shared" si="62"/>
        <v>9.235878149887256</v>
      </c>
      <c r="V168" s="230">
        <f t="shared" si="45"/>
        <v>9.2558781498872555</v>
      </c>
      <c r="W168" s="41">
        <f t="shared" si="63"/>
        <v>-0.25639261737937602</v>
      </c>
      <c r="X168" s="41">
        <f t="shared" si="64"/>
        <v>3501.5699677596272</v>
      </c>
      <c r="Y168" s="41">
        <f t="shared" si="65"/>
        <v>181.38941367490006</v>
      </c>
      <c r="Z168" s="41">
        <f t="shared" si="66"/>
        <v>1294.2298210911963</v>
      </c>
      <c r="AA168" s="230">
        <f t="shared" si="46"/>
        <v>0.41730779861355138</v>
      </c>
      <c r="AB168" s="230">
        <f t="shared" si="67"/>
        <v>-0.44001381307201209</v>
      </c>
      <c r="AC168" s="41">
        <f t="shared" si="78"/>
        <v>0.46284192879093822</v>
      </c>
      <c r="AD168" s="41">
        <f t="shared" si="47"/>
        <v>8.6422593788100091E-2</v>
      </c>
      <c r="AE168" s="41">
        <f t="shared" si="69"/>
        <v>-3.1093660664235135E-3</v>
      </c>
      <c r="AF168" s="41">
        <f t="shared" si="48"/>
        <v>735.60131624103383</v>
      </c>
      <c r="AG168" s="41">
        <f t="shared" si="49"/>
        <v>704.97527331884135</v>
      </c>
      <c r="AH168" s="41">
        <f t="shared" si="70"/>
        <v>9.3166260694457108</v>
      </c>
      <c r="AI168" s="41">
        <f t="shared" si="50"/>
        <v>357.27414334786181</v>
      </c>
      <c r="AJ168" s="41">
        <f t="shared" si="71"/>
        <v>8.7007717096459096</v>
      </c>
      <c r="AK168" s="8">
        <f t="shared" si="74"/>
        <v>48.710671014706143</v>
      </c>
      <c r="AL168" s="42">
        <f t="shared" si="75"/>
        <v>2.4679648697285419</v>
      </c>
      <c r="AZ168" s="8"/>
    </row>
    <row r="169" spans="1:52" x14ac:dyDescent="0.25">
      <c r="A169" s="40"/>
      <c r="B169" s="41">
        <f t="shared" si="77"/>
        <v>735.60131624103383</v>
      </c>
      <c r="C169" s="41">
        <f t="shared" si="77"/>
        <v>704.97527331884135</v>
      </c>
      <c r="D169" s="41">
        <f t="shared" si="77"/>
        <v>9.3166260694457108</v>
      </c>
      <c r="E169" s="41">
        <f t="shared" si="72"/>
        <v>16</v>
      </c>
      <c r="F169" s="41">
        <f t="shared" si="52"/>
        <v>16</v>
      </c>
      <c r="G169" s="41">
        <f t="shared" si="53"/>
        <v>3700.3772166119379</v>
      </c>
      <c r="H169" s="25">
        <f t="shared" si="79"/>
        <v>0.04</v>
      </c>
      <c r="I169" s="226">
        <f t="shared" si="54"/>
        <v>24.500834337753986</v>
      </c>
      <c r="J169" s="227">
        <f t="shared" si="76"/>
        <v>80</v>
      </c>
      <c r="K169" s="41">
        <f t="shared" si="55"/>
        <v>1</v>
      </c>
      <c r="L169" s="215">
        <f t="shared" si="56"/>
        <v>9.35662606944571</v>
      </c>
      <c r="M169" s="215">
        <f t="shared" si="42"/>
        <v>9.3366260694457104</v>
      </c>
      <c r="N169" s="41">
        <f t="shared" si="57"/>
        <v>0.26850690345102635</v>
      </c>
      <c r="O169" s="41">
        <f t="shared" si="58"/>
        <v>6.4585928640345376</v>
      </c>
      <c r="P169" s="228">
        <f t="shared" si="59"/>
        <v>184.03007092335457</v>
      </c>
      <c r="Q169" s="41">
        <f t="shared" si="60"/>
        <v>3596.1265283660687</v>
      </c>
      <c r="R169" s="41">
        <f t="shared" si="61"/>
        <v>1296.3197293897031</v>
      </c>
      <c r="S169" s="215">
        <f t="shared" si="43"/>
        <v>0.42952151675793071</v>
      </c>
      <c r="T169" s="215">
        <f t="shared" si="44"/>
        <v>0.47066964195578903</v>
      </c>
      <c r="U169" s="230">
        <f t="shared" si="62"/>
        <v>9.2766260694457117</v>
      </c>
      <c r="V169" s="230">
        <f t="shared" si="45"/>
        <v>9.2966260694457112</v>
      </c>
      <c r="W169" s="41">
        <f t="shared" si="63"/>
        <v>-0.25749732070347875</v>
      </c>
      <c r="X169" s="41">
        <f t="shared" si="64"/>
        <v>3549.0808432919775</v>
      </c>
      <c r="Y169" s="41">
        <f t="shared" si="65"/>
        <v>182.45660437575626</v>
      </c>
      <c r="Z169" s="41">
        <f t="shared" si="66"/>
        <v>1295.0823355433956</v>
      </c>
      <c r="AA169" s="230">
        <f t="shared" si="46"/>
        <v>0.424307397943056</v>
      </c>
      <c r="AB169" s="230">
        <f t="shared" si="67"/>
        <v>-0.44728266401799049</v>
      </c>
      <c r="AC169" s="41">
        <f t="shared" si="78"/>
        <v>0.47066964195578903</v>
      </c>
      <c r="AD169" s="41">
        <f t="shared" si="47"/>
        <v>8.4985298464941753E-2</v>
      </c>
      <c r="AE169" s="41">
        <f t="shared" si="69"/>
        <v>-3.0793304940154704E-3</v>
      </c>
      <c r="AF169" s="41">
        <f t="shared" si="48"/>
        <v>735.39915350252909</v>
      </c>
      <c r="AG169" s="41">
        <f t="shared" si="49"/>
        <v>704.50460367688561</v>
      </c>
      <c r="AH169" s="41">
        <f t="shared" si="70"/>
        <v>9.3573776500815562</v>
      </c>
      <c r="AI169" s="41">
        <f t="shared" si="50"/>
        <v>363.08144610078295</v>
      </c>
      <c r="AJ169" s="41">
        <f t="shared" si="71"/>
        <v>8.8016276668961275</v>
      </c>
      <c r="AK169" s="8">
        <f t="shared" si="74"/>
        <v>50.036732245557303</v>
      </c>
      <c r="AL169" s="42">
        <f t="shared" si="75"/>
        <v>2.4970113854166045</v>
      </c>
      <c r="AZ169" s="8"/>
    </row>
    <row r="170" spans="1:52" x14ac:dyDescent="0.25">
      <c r="A170" s="40"/>
      <c r="B170" s="41">
        <f t="shared" si="77"/>
        <v>735.39915350252909</v>
      </c>
      <c r="C170" s="41">
        <f t="shared" si="77"/>
        <v>704.50460367688561</v>
      </c>
      <c r="D170" s="41">
        <f t="shared" si="77"/>
        <v>9.3573776500815562</v>
      </c>
      <c r="E170" s="41">
        <f t="shared" si="72"/>
        <v>16</v>
      </c>
      <c r="F170" s="41">
        <f t="shared" si="52"/>
        <v>16</v>
      </c>
      <c r="G170" s="41">
        <f t="shared" si="53"/>
        <v>3748.9381151187904</v>
      </c>
      <c r="H170" s="25">
        <f t="shared" si="79"/>
        <v>0.04</v>
      </c>
      <c r="I170" s="226">
        <f t="shared" si="54"/>
        <v>24.715639860514784</v>
      </c>
      <c r="J170" s="227">
        <f t="shared" si="76"/>
        <v>80</v>
      </c>
      <c r="K170" s="41">
        <f t="shared" si="55"/>
        <v>1</v>
      </c>
      <c r="L170" s="215">
        <f t="shared" si="56"/>
        <v>9.3973776500815553</v>
      </c>
      <c r="M170" s="215">
        <f t="shared" si="42"/>
        <v>9.3773776500815558</v>
      </c>
      <c r="N170" s="41">
        <f t="shared" si="57"/>
        <v>0.26970308034054824</v>
      </c>
      <c r="O170" s="41">
        <f t="shared" si="58"/>
        <v>6.4330664489193392</v>
      </c>
      <c r="P170" s="228">
        <f t="shared" si="59"/>
        <v>185.10121827452198</v>
      </c>
      <c r="Q170" s="41">
        <f t="shared" si="60"/>
        <v>3644.4725102488574</v>
      </c>
      <c r="R170" s="41">
        <f t="shared" si="61"/>
        <v>1297.1490514006323</v>
      </c>
      <c r="S170" s="215">
        <f t="shared" si="43"/>
        <v>0.43674381058073741</v>
      </c>
      <c r="T170" s="215">
        <f t="shared" si="44"/>
        <v>0.47882843616618193</v>
      </c>
      <c r="U170" s="230">
        <f t="shared" si="62"/>
        <v>9.3173776500815571</v>
      </c>
      <c r="V170" s="230">
        <f t="shared" si="45"/>
        <v>9.3373776500815566</v>
      </c>
      <c r="W170" s="41">
        <f t="shared" si="63"/>
        <v>-0.25860192345196964</v>
      </c>
      <c r="X170" s="41">
        <f t="shared" si="64"/>
        <v>3597.0143634065948</v>
      </c>
      <c r="Y170" s="41">
        <f t="shared" si="65"/>
        <v>183.5254563274955</v>
      </c>
      <c r="Z170" s="41">
        <f t="shared" si="66"/>
        <v>1295.925400392689</v>
      </c>
      <c r="AA170" s="230">
        <f t="shared" si="46"/>
        <v>0.43146356987241563</v>
      </c>
      <c r="AB170" s="230">
        <f t="shared" si="67"/>
        <v>-0.454855502212826</v>
      </c>
      <c r="AC170" s="41">
        <f t="shared" si="78"/>
        <v>0.47882843616618193</v>
      </c>
      <c r="AD170" s="41">
        <f t="shared" si="47"/>
        <v>8.3537227488547958E-2</v>
      </c>
      <c r="AE170" s="41">
        <f t="shared" si="69"/>
        <v>-3.0501820061773271E-3</v>
      </c>
      <c r="AF170" s="41">
        <f t="shared" si="48"/>
        <v>735.19002814670341</v>
      </c>
      <c r="AG170" s="41">
        <f t="shared" si="49"/>
        <v>704.02577524071944</v>
      </c>
      <c r="AH170" s="41">
        <f t="shared" si="70"/>
        <v>9.3981328905021382</v>
      </c>
      <c r="AI170" s="41">
        <f t="shared" si="50"/>
        <v>369.13910213259902</v>
      </c>
      <c r="AJ170" s="41">
        <f t="shared" si="71"/>
        <v>8.9041663063774052</v>
      </c>
      <c r="AK170" s="8">
        <f t="shared" si="74"/>
        <v>51.402686168849357</v>
      </c>
      <c r="AL170" s="42">
        <f t="shared" si="75"/>
        <v>2.5265425135872124</v>
      </c>
      <c r="AZ170" s="8"/>
    </row>
    <row r="171" spans="1:52" x14ac:dyDescent="0.25">
      <c r="A171" s="40"/>
      <c r="B171" s="41">
        <f t="shared" si="77"/>
        <v>735.19002814670341</v>
      </c>
      <c r="C171" s="41">
        <f t="shared" si="77"/>
        <v>704.02577524071944</v>
      </c>
      <c r="D171" s="41">
        <f t="shared" si="77"/>
        <v>9.3981328905021382</v>
      </c>
      <c r="E171" s="41">
        <f t="shared" si="72"/>
        <v>16</v>
      </c>
      <c r="F171" s="41">
        <f t="shared" si="52"/>
        <v>16</v>
      </c>
      <c r="G171" s="41">
        <f t="shared" si="53"/>
        <v>3797.9264326847442</v>
      </c>
      <c r="H171" s="25">
        <f t="shared" si="79"/>
        <v>0.04</v>
      </c>
      <c r="I171" s="226">
        <f t="shared" si="54"/>
        <v>24.931402324787179</v>
      </c>
      <c r="J171" s="227">
        <f t="shared" si="76"/>
        <v>80</v>
      </c>
      <c r="K171" s="41">
        <f t="shared" si="55"/>
        <v>1</v>
      </c>
      <c r="L171" s="215">
        <f t="shared" si="56"/>
        <v>9.4381328905021373</v>
      </c>
      <c r="M171" s="215">
        <f t="shared" si="42"/>
        <v>9.4181328905021378</v>
      </c>
      <c r="N171" s="41">
        <f t="shared" si="57"/>
        <v>0.27089956452105923</v>
      </c>
      <c r="O171" s="41">
        <f t="shared" si="58"/>
        <v>6.4066608873237509</v>
      </c>
      <c r="P171" s="228">
        <f t="shared" si="59"/>
        <v>186.17401626258965</v>
      </c>
      <c r="Q171" s="41">
        <f t="shared" si="60"/>
        <v>3693.2449196939997</v>
      </c>
      <c r="R171" s="41">
        <f t="shared" si="61"/>
        <v>1297.969291406464</v>
      </c>
      <c r="S171" s="215">
        <f t="shared" si="43"/>
        <v>0.44413188660855496</v>
      </c>
      <c r="T171" s="215">
        <f t="shared" si="44"/>
        <v>0.48734503382152167</v>
      </c>
      <c r="U171" s="230">
        <f t="shared" si="62"/>
        <v>9.358132890502139</v>
      </c>
      <c r="V171" s="230">
        <f t="shared" si="45"/>
        <v>9.3781328905021386</v>
      </c>
      <c r="W171" s="41">
        <f t="shared" si="63"/>
        <v>-0.25970642553600243</v>
      </c>
      <c r="X171" s="41">
        <f t="shared" si="64"/>
        <v>3645.3724735992087</v>
      </c>
      <c r="Y171" s="41">
        <f t="shared" si="65"/>
        <v>184.59596535894619</v>
      </c>
      <c r="Z171" s="41">
        <f t="shared" si="66"/>
        <v>1296.7591656549475</v>
      </c>
      <c r="AA171" s="230">
        <f t="shared" si="46"/>
        <v>0.43878406446684237</v>
      </c>
      <c r="AB171" s="230">
        <f t="shared" si="67"/>
        <v>-0.4627566843576531</v>
      </c>
      <c r="AC171" s="41">
        <f t="shared" si="78"/>
        <v>0.48734503382152167</v>
      </c>
      <c r="AD171" s="41">
        <f t="shared" si="47"/>
        <v>8.2077372752399957E-2</v>
      </c>
      <c r="AE171" s="41">
        <f t="shared" si="69"/>
        <v>-3.0219309088803268E-3</v>
      </c>
      <c r="AF171" s="41">
        <f t="shared" si="48"/>
        <v>734.97358267740299</v>
      </c>
      <c r="AG171" s="41">
        <f t="shared" si="49"/>
        <v>703.53843020689794</v>
      </c>
      <c r="AH171" s="41">
        <f t="shared" si="70"/>
        <v>9.4388917894352673</v>
      </c>
      <c r="AI171" s="41">
        <f t="shared" si="50"/>
        <v>375.46730654424067</v>
      </c>
      <c r="AJ171" s="41">
        <f t="shared" si="71"/>
        <v>9.0084627804174726</v>
      </c>
      <c r="AK171" s="8">
        <f t="shared" si="74"/>
        <v>52.810289865334049</v>
      </c>
      <c r="AL171" s="42">
        <f t="shared" si="75"/>
        <v>2.5565798981107517</v>
      </c>
      <c r="AZ171" s="8"/>
    </row>
    <row r="172" spans="1:52" x14ac:dyDescent="0.25">
      <c r="A172" s="40"/>
      <c r="B172" s="41">
        <f t="shared" si="77"/>
        <v>734.97358267740299</v>
      </c>
      <c r="C172" s="41">
        <f t="shared" si="77"/>
        <v>703.53843020689794</v>
      </c>
      <c r="D172" s="41">
        <f t="shared" si="77"/>
        <v>9.4388917894352673</v>
      </c>
      <c r="E172" s="41">
        <f t="shared" si="72"/>
        <v>16</v>
      </c>
      <c r="F172" s="41">
        <f t="shared" si="52"/>
        <v>16</v>
      </c>
      <c r="G172" s="41">
        <f t="shared" si="53"/>
        <v>3847.3441168153554</v>
      </c>
      <c r="H172" s="25">
        <f t="shared" si="79"/>
        <v>0.04</v>
      </c>
      <c r="I172" s="226">
        <f t="shared" si="54"/>
        <v>25.148121976404038</v>
      </c>
      <c r="J172" s="227">
        <f t="shared" si="76"/>
        <v>80</v>
      </c>
      <c r="K172" s="41">
        <f t="shared" si="55"/>
        <v>1</v>
      </c>
      <c r="L172" s="215">
        <f t="shared" si="56"/>
        <v>9.4788917894352664</v>
      </c>
      <c r="M172" s="215">
        <f t="shared" si="42"/>
        <v>9.4588917894352669</v>
      </c>
      <c r="N172" s="41">
        <f t="shared" si="57"/>
        <v>0.27209635600910786</v>
      </c>
      <c r="O172" s="41">
        <f t="shared" si="58"/>
        <v>6.3793310394000837</v>
      </c>
      <c r="P172" s="228">
        <f t="shared" si="59"/>
        <v>187.24846079349709</v>
      </c>
      <c r="Q172" s="41">
        <f t="shared" si="60"/>
        <v>3742.4457036390504</v>
      </c>
      <c r="R172" s="41">
        <f t="shared" si="61"/>
        <v>1298.7805918444772</v>
      </c>
      <c r="S172" s="215">
        <f t="shared" si="43"/>
        <v>0.45169426723651146</v>
      </c>
      <c r="T172" s="215">
        <f t="shared" si="44"/>
        <v>0.49624933636518531</v>
      </c>
      <c r="U172" s="230">
        <f t="shared" si="62"/>
        <v>9.3988917894352682</v>
      </c>
      <c r="V172" s="230">
        <f t="shared" si="45"/>
        <v>9.4188917894352677</v>
      </c>
      <c r="W172" s="41">
        <f t="shared" si="63"/>
        <v>-0.26081082686723533</v>
      </c>
      <c r="X172" s="41">
        <f t="shared" si="64"/>
        <v>3694.1571203353333</v>
      </c>
      <c r="Y172" s="41">
        <f t="shared" si="65"/>
        <v>185.66812732993432</v>
      </c>
      <c r="Z172" s="41">
        <f t="shared" si="66"/>
        <v>1297.5837782455785</v>
      </c>
      <c r="AA172" s="230">
        <f t="shared" si="46"/>
        <v>0.44627731965466477</v>
      </c>
      <c r="AB172" s="230">
        <f t="shared" si="67"/>
        <v>-0.471013444319416</v>
      </c>
      <c r="AC172" s="41">
        <f t="shared" si="78"/>
        <v>0.49624933636518531</v>
      </c>
      <c r="AD172" s="41">
        <f t="shared" si="47"/>
        <v>8.0604641797574858E-2</v>
      </c>
      <c r="AE172" s="41">
        <f t="shared" si="69"/>
        <v>-2.9945900453772303E-3</v>
      </c>
      <c r="AF172" s="41">
        <f t="shared" si="48"/>
        <v>734.74942969704693</v>
      </c>
      <c r="AG172" s="41">
        <f t="shared" si="49"/>
        <v>703.04218087053277</v>
      </c>
      <c r="AH172" s="41">
        <f t="shared" si="70"/>
        <v>9.4796543456288394</v>
      </c>
      <c r="AI172" s="41">
        <f t="shared" si="50"/>
        <v>382.08866030283951</v>
      </c>
      <c r="AJ172" s="41">
        <f t="shared" si="71"/>
        <v>9.1145985193904835</v>
      </c>
      <c r="AK172" s="8">
        <f t="shared" si="74"/>
        <v>54.261434487927303</v>
      </c>
      <c r="AL172" s="42">
        <f t="shared" si="75"/>
        <v>2.5871469909349787</v>
      </c>
      <c r="AZ172" s="8"/>
    </row>
    <row r="173" spans="1:52" x14ac:dyDescent="0.25">
      <c r="A173" s="40"/>
      <c r="B173" s="41">
        <f t="shared" si="77"/>
        <v>734.74942969704693</v>
      </c>
      <c r="C173" s="41">
        <f t="shared" si="77"/>
        <v>703.04218087053277</v>
      </c>
      <c r="D173" s="41">
        <f t="shared" si="77"/>
        <v>9.4796543456288394</v>
      </c>
      <c r="E173" s="41">
        <f t="shared" si="72"/>
        <v>16</v>
      </c>
      <c r="F173" s="41">
        <f t="shared" si="52"/>
        <v>16</v>
      </c>
      <c r="G173" s="41">
        <f t="shared" si="53"/>
        <v>3897.1931159863993</v>
      </c>
      <c r="H173" s="25">
        <f t="shared" si="79"/>
        <v>0.04</v>
      </c>
      <c r="I173" s="226">
        <f t="shared" si="54"/>
        <v>25.36579906121133</v>
      </c>
      <c r="J173" s="227">
        <f t="shared" si="76"/>
        <v>80</v>
      </c>
      <c r="K173" s="41">
        <f t="shared" si="55"/>
        <v>1</v>
      </c>
      <c r="L173" s="215">
        <f t="shared" si="56"/>
        <v>9.5196543456288385</v>
      </c>
      <c r="M173" s="215">
        <f t="shared" si="42"/>
        <v>9.4996543456288389</v>
      </c>
      <c r="N173" s="41">
        <f t="shared" si="57"/>
        <v>0.27329345482165479</v>
      </c>
      <c r="O173" s="41">
        <f t="shared" si="58"/>
        <v>6.3510279897471262</v>
      </c>
      <c r="P173" s="228">
        <f t="shared" si="59"/>
        <v>188.32454780330005</v>
      </c>
      <c r="Q173" s="41">
        <f t="shared" si="60"/>
        <v>3792.0768099916077</v>
      </c>
      <c r="R173" s="41">
        <f t="shared" si="61"/>
        <v>1299.5830922437874</v>
      </c>
      <c r="S173" s="215">
        <f t="shared" si="43"/>
        <v>0.45944025715007591</v>
      </c>
      <c r="T173" s="215">
        <f t="shared" si="44"/>
        <v>0.50557493123850594</v>
      </c>
      <c r="U173" s="230">
        <f t="shared" si="62"/>
        <v>9.4396543456288402</v>
      </c>
      <c r="V173" s="230">
        <f t="shared" si="45"/>
        <v>9.4596543456288398</v>
      </c>
      <c r="W173" s="41">
        <f t="shared" si="63"/>
        <v>-0.26191512735792344</v>
      </c>
      <c r="X173" s="41">
        <f t="shared" si="64"/>
        <v>3743.3702510505082</v>
      </c>
      <c r="Y173" s="41">
        <f t="shared" si="65"/>
        <v>186.74193813092603</v>
      </c>
      <c r="Z173" s="41">
        <f t="shared" si="66"/>
        <v>1298.3993820584201</v>
      </c>
      <c r="AA173" s="230">
        <f t="shared" si="46"/>
        <v>0.45395254767055121</v>
      </c>
      <c r="AB173" s="230">
        <f t="shared" si="67"/>
        <v>-0.47965634898686654</v>
      </c>
      <c r="AC173" s="41">
        <f t="shared" si="78"/>
        <v>0.50557493123850594</v>
      </c>
      <c r="AD173" s="41">
        <f t="shared" si="47"/>
        <v>7.9117846887724594E-2</v>
      </c>
      <c r="AE173" s="41">
        <f t="shared" si="69"/>
        <v>-2.9681750740708172E-3</v>
      </c>
      <c r="AF173" s="41">
        <f t="shared" si="48"/>
        <v>734.51714822063013</v>
      </c>
      <c r="AG173" s="41">
        <f t="shared" si="49"/>
        <v>702.5366059392943</v>
      </c>
      <c r="AH173" s="41">
        <f t="shared" si="70"/>
        <v>9.5204205578505245</v>
      </c>
      <c r="AI173" s="41">
        <f t="shared" si="50"/>
        <v>389.02855404621232</v>
      </c>
      <c r="AJ173" s="41">
        <f t="shared" si="71"/>
        <v>9.2226620066255425</v>
      </c>
      <c r="AK173" s="8">
        <f t="shared" si="74"/>
        <v>55.758161206610183</v>
      </c>
      <c r="AL173" s="42">
        <f t="shared" si="75"/>
        <v>2.6182692752586756</v>
      </c>
      <c r="AZ173" s="8"/>
    </row>
    <row r="174" spans="1:52" x14ac:dyDescent="0.25">
      <c r="A174" s="40"/>
      <c r="B174" s="41">
        <f t="shared" si="77"/>
        <v>734.51714822063013</v>
      </c>
      <c r="C174" s="41">
        <f t="shared" si="77"/>
        <v>702.5366059392943</v>
      </c>
      <c r="D174" s="41">
        <f t="shared" si="77"/>
        <v>9.5204205578505245</v>
      </c>
      <c r="E174" s="41">
        <f t="shared" si="72"/>
        <v>16</v>
      </c>
      <c r="F174" s="41">
        <f t="shared" si="52"/>
        <v>16</v>
      </c>
      <c r="G174" s="41">
        <f t="shared" si="53"/>
        <v>3947.4753796441996</v>
      </c>
      <c r="H174" s="25">
        <f t="shared" si="79"/>
        <v>0.04</v>
      </c>
      <c r="I174" s="226">
        <f t="shared" si="54"/>
        <v>25.584433825068665</v>
      </c>
      <c r="J174" s="227">
        <f t="shared" si="76"/>
        <v>80</v>
      </c>
      <c r="K174" s="41">
        <f t="shared" si="55"/>
        <v>1</v>
      </c>
      <c r="L174" s="215">
        <f t="shared" si="56"/>
        <v>9.5604205578505237</v>
      </c>
      <c r="M174" s="215">
        <f t="shared" si="42"/>
        <v>9.5404205578505241</v>
      </c>
      <c r="N174" s="41">
        <f t="shared" si="57"/>
        <v>0.27449086097645647</v>
      </c>
      <c r="O174" s="41">
        <f t="shared" si="58"/>
        <v>6.3216985819915648</v>
      </c>
      <c r="P174" s="228">
        <f t="shared" si="59"/>
        <v>189.4022732578274</v>
      </c>
      <c r="Q174" s="41">
        <f t="shared" si="60"/>
        <v>3842.1401876296345</v>
      </c>
      <c r="R174" s="41">
        <f t="shared" si="61"/>
        <v>1300.3769292984518</v>
      </c>
      <c r="S174" s="215">
        <f t="shared" si="43"/>
        <v>0.4673800450968999</v>
      </c>
      <c r="T174" s="215">
        <f t="shared" si="44"/>
        <v>0.515359701508733</v>
      </c>
      <c r="U174" s="230">
        <f t="shared" si="62"/>
        <v>9.4804205578505254</v>
      </c>
      <c r="V174" s="230">
        <f t="shared" si="45"/>
        <v>9.500420557850525</v>
      </c>
      <c r="W174" s="41">
        <f t="shared" si="63"/>
        <v>-0.26301932692085472</v>
      </c>
      <c r="X174" s="41">
        <f t="shared" si="64"/>
        <v>3793.0138141505972</v>
      </c>
      <c r="Y174" s="41">
        <f t="shared" si="65"/>
        <v>187.8173936826766</v>
      </c>
      <c r="Z174" s="41">
        <f t="shared" si="66"/>
        <v>1299.2061180422568</v>
      </c>
      <c r="AA174" s="230">
        <f t="shared" si="46"/>
        <v>0.46181983577660102</v>
      </c>
      <c r="AB174" s="230">
        <f t="shared" si="67"/>
        <v>-0.48871984589100392</v>
      </c>
      <c r="AC174" s="41">
        <f t="shared" si="78"/>
        <v>0.515359701508733</v>
      </c>
      <c r="AD174" s="41">
        <f t="shared" si="47"/>
        <v>7.7615692268717645E-2</v>
      </c>
      <c r="AE174" s="41">
        <f t="shared" si="69"/>
        <v>-2.9427047938706745E-3</v>
      </c>
      <c r="AF174" s="41">
        <f t="shared" si="48"/>
        <v>734.27627938009789</v>
      </c>
      <c r="AG174" s="41">
        <f t="shared" si="49"/>
        <v>702.02124623778559</v>
      </c>
      <c r="AH174" s="41">
        <f t="shared" si="70"/>
        <v>9.5611904248874335</v>
      </c>
      <c r="AI174" s="41">
        <f t="shared" si="50"/>
        <v>396.31562964345079</v>
      </c>
      <c r="AJ174" s="41">
        <f t="shared" si="71"/>
        <v>9.3327496815265008</v>
      </c>
      <c r="AK174" s="8">
        <f t="shared" si="74"/>
        <v>57.302679750214452</v>
      </c>
      <c r="AL174" s="42">
        <f t="shared" si="75"/>
        <v>2.6499745256301517</v>
      </c>
      <c r="AZ174" s="8"/>
    </row>
    <row r="175" spans="1:52" x14ac:dyDescent="0.25">
      <c r="A175" s="40"/>
      <c r="B175" s="41">
        <f t="shared" si="77"/>
        <v>734.27627938009789</v>
      </c>
      <c r="C175" s="41">
        <f t="shared" si="77"/>
        <v>702.02124623778559</v>
      </c>
      <c r="D175" s="41">
        <f t="shared" si="77"/>
        <v>9.5611904248874335</v>
      </c>
      <c r="E175" s="41">
        <f t="shared" si="72"/>
        <v>16</v>
      </c>
      <c r="F175" s="41">
        <f t="shared" si="52"/>
        <v>16</v>
      </c>
      <c r="G175" s="41">
        <f t="shared" si="53"/>
        <v>3998.1928582058799</v>
      </c>
      <c r="H175" s="25">
        <f t="shared" si="79"/>
        <v>0.04</v>
      </c>
      <c r="I175" s="226">
        <f t="shared" si="54"/>
        <v>25.804026513849841</v>
      </c>
      <c r="J175" s="227">
        <f t="shared" si="76"/>
        <v>80</v>
      </c>
      <c r="K175" s="41">
        <f t="shared" si="55"/>
        <v>1</v>
      </c>
      <c r="L175" s="215">
        <f t="shared" si="56"/>
        <v>9.6011904248874327</v>
      </c>
      <c r="M175" s="215">
        <f t="shared" si="42"/>
        <v>9.5811904248874331</v>
      </c>
      <c r="N175" s="41">
        <f t="shared" si="57"/>
        <v>0.27568857449161044</v>
      </c>
      <c r="O175" s="41">
        <f t="shared" si="58"/>
        <v>6.2912848763936937</v>
      </c>
      <c r="P175" s="228">
        <f t="shared" si="59"/>
        <v>190.48163315234319</v>
      </c>
      <c r="Q175" s="41">
        <f t="shared" si="60"/>
        <v>3892.6377864017199</v>
      </c>
      <c r="R175" s="41">
        <f t="shared" si="61"/>
        <v>1301.1622369383952</v>
      </c>
      <c r="S175" s="215">
        <f t="shared" si="43"/>
        <v>0.47552482308472915</v>
      </c>
      <c r="T175" s="215">
        <f t="shared" si="44"/>
        <v>0.52564656370028362</v>
      </c>
      <c r="U175" s="230">
        <f t="shared" si="62"/>
        <v>9.5211904248874344</v>
      </c>
      <c r="V175" s="230">
        <f t="shared" si="45"/>
        <v>9.541190424887434</v>
      </c>
      <c r="W175" s="41">
        <f t="shared" si="63"/>
        <v>-0.26412342546943535</v>
      </c>
      <c r="X175" s="41">
        <f t="shared" si="64"/>
        <v>3843.089759012073</v>
      </c>
      <c r="Y175" s="41">
        <f t="shared" si="65"/>
        <v>188.89448993588442</v>
      </c>
      <c r="Z175" s="41">
        <f t="shared" si="66"/>
        <v>1300.0041242750317</v>
      </c>
      <c r="AA175" s="230">
        <f t="shared" si="46"/>
        <v>0.4698902642281913</v>
      </c>
      <c r="AB175" s="230">
        <f t="shared" si="67"/>
        <v>-0.49824292527826736</v>
      </c>
      <c r="AC175" s="41">
        <f t="shared" si="78"/>
        <v>0.52564656370028362</v>
      </c>
      <c r="AD175" s="41">
        <f t="shared" si="47"/>
        <v>7.6096759233847941E-2</v>
      </c>
      <c r="AE175" s="41">
        <f t="shared" si="69"/>
        <v>-2.9182015241084607E-3</v>
      </c>
      <c r="AF175" s="41">
        <f t="shared" si="48"/>
        <v>734.02632139088917</v>
      </c>
      <c r="AG175" s="41">
        <f t="shared" si="49"/>
        <v>701.49559967408527</v>
      </c>
      <c r="AH175" s="41">
        <f t="shared" si="70"/>
        <v>9.6019639455457799</v>
      </c>
      <c r="AI175" s="41">
        <f t="shared" si="50"/>
        <v>403.98233884893392</v>
      </c>
      <c r="AJ175" s="41">
        <f t="shared" si="71"/>
        <v>9.4449669978734274</v>
      </c>
      <c r="AK175" s="8">
        <f t="shared" si="74"/>
        <v>58.897390086631702</v>
      </c>
      <c r="AL175" s="42">
        <f t="shared" si="75"/>
        <v>2.6822931127380665</v>
      </c>
      <c r="AZ175" s="8"/>
    </row>
    <row r="176" spans="1:52" x14ac:dyDescent="0.25">
      <c r="A176" s="40"/>
      <c r="B176" s="41">
        <f t="shared" si="77"/>
        <v>734.02632139088917</v>
      </c>
      <c r="C176" s="41">
        <f t="shared" si="77"/>
        <v>701.49559967408527</v>
      </c>
      <c r="D176" s="41">
        <f t="shared" si="77"/>
        <v>9.6019639455457799</v>
      </c>
      <c r="E176" s="41">
        <f t="shared" si="72"/>
        <v>16</v>
      </c>
      <c r="F176" s="41">
        <f t="shared" si="52"/>
        <v>16</v>
      </c>
      <c r="G176" s="41">
        <f t="shared" si="53"/>
        <v>4049.3475030596355</v>
      </c>
      <c r="H176" s="25">
        <f t="shared" si="79"/>
        <v>0.04</v>
      </c>
      <c r="I176" s="226">
        <f t="shared" si="54"/>
        <v>26.024577373443119</v>
      </c>
      <c r="J176" s="227">
        <f t="shared" si="76"/>
        <v>80</v>
      </c>
      <c r="K176" s="41">
        <f t="shared" si="55"/>
        <v>1</v>
      </c>
      <c r="L176" s="215">
        <f t="shared" si="56"/>
        <v>9.6419639455457791</v>
      </c>
      <c r="M176" s="215">
        <f t="shared" si="42"/>
        <v>9.6219639455457795</v>
      </c>
      <c r="N176" s="41">
        <f t="shared" si="57"/>
        <v>0.27688659538583238</v>
      </c>
      <c r="O176" s="41">
        <f t="shared" si="58"/>
        <v>6.2597235142896048</v>
      </c>
      <c r="P176" s="228">
        <f t="shared" si="59"/>
        <v>191.56262351121401</v>
      </c>
      <c r="Q176" s="41">
        <f t="shared" si="60"/>
        <v>3943.5715571273458</v>
      </c>
      <c r="R176" s="41">
        <f t="shared" si="61"/>
        <v>1301.9391463982258</v>
      </c>
      <c r="S176" s="215">
        <f t="shared" si="43"/>
        <v>0.48388692676426814</v>
      </c>
      <c r="T176" s="215">
        <f t="shared" si="44"/>
        <v>0.53648436698166324</v>
      </c>
      <c r="U176" s="230">
        <f t="shared" si="62"/>
        <v>9.5619639455457808</v>
      </c>
      <c r="V176" s="230">
        <f t="shared" si="45"/>
        <v>9.5819639455457803</v>
      </c>
      <c r="W176" s="41">
        <f t="shared" si="63"/>
        <v>-0.26522742291746226</v>
      </c>
      <c r="X176" s="41">
        <f t="shared" si="64"/>
        <v>3893.6000359822783</v>
      </c>
      <c r="Y176" s="41">
        <f t="shared" si="65"/>
        <v>189.97322287085021</v>
      </c>
      <c r="Z176" s="41">
        <f t="shared" si="66"/>
        <v>1300.7935360358404</v>
      </c>
      <c r="AA176" s="230">
        <f t="shared" si="46"/>
        <v>0.47817604520413343</v>
      </c>
      <c r="AB176" s="230">
        <f t="shared" si="67"/>
        <v>-0.50826992605430921</v>
      </c>
      <c r="AC176" s="41">
        <f t="shared" si="78"/>
        <v>0.53648436698166324</v>
      </c>
      <c r="AD176" s="41">
        <f t="shared" si="47"/>
        <v>7.4559488517895955E-2</v>
      </c>
      <c r="AE176" s="41">
        <f t="shared" si="69"/>
        <v>-2.8946915517561898E-3</v>
      </c>
      <c r="AF176" s="41">
        <f t="shared" si="48"/>
        <v>733.76672361929332</v>
      </c>
      <c r="AG176" s="41">
        <f t="shared" si="49"/>
        <v>700.95911530710362</v>
      </c>
      <c r="AH176" s="41">
        <f t="shared" si="70"/>
        <v>9.6427411186505623</v>
      </c>
      <c r="AI176" s="41">
        <f t="shared" si="50"/>
        <v>412.06562416210505</v>
      </c>
      <c r="AJ176" s="41">
        <f t="shared" si="71"/>
        <v>9.5594296712517899</v>
      </c>
      <c r="AK176" s="8">
        <f t="shared" si="74"/>
        <v>60.544907922268777</v>
      </c>
      <c r="AL176" s="42">
        <f t="shared" si="75"/>
        <v>2.7152583626710349</v>
      </c>
      <c r="AZ176" s="8"/>
    </row>
    <row r="177" spans="1:52" x14ac:dyDescent="0.25">
      <c r="A177" s="40"/>
      <c r="B177" s="41">
        <f t="shared" si="77"/>
        <v>733.76672361929332</v>
      </c>
      <c r="C177" s="41">
        <f t="shared" si="77"/>
        <v>700.95911530710362</v>
      </c>
      <c r="D177" s="41">
        <f t="shared" si="77"/>
        <v>9.6427411186505623</v>
      </c>
      <c r="E177" s="41">
        <f t="shared" si="72"/>
        <v>16</v>
      </c>
      <c r="F177" s="41">
        <f t="shared" si="52"/>
        <v>16</v>
      </c>
      <c r="G177" s="41">
        <f t="shared" si="53"/>
        <v>4100.9412665650289</v>
      </c>
      <c r="H177" s="25">
        <f t="shared" si="79"/>
        <v>0.04</v>
      </c>
      <c r="I177" s="226">
        <f t="shared" si="54"/>
        <v>26.24608664975176</v>
      </c>
      <c r="J177" s="227">
        <f t="shared" si="76"/>
        <v>80</v>
      </c>
      <c r="K177" s="41">
        <f t="shared" si="55"/>
        <v>1</v>
      </c>
      <c r="L177" s="215">
        <f t="shared" si="56"/>
        <v>9.6827411186505614</v>
      </c>
      <c r="M177" s="215">
        <f t="shared" si="42"/>
        <v>9.6627411186505618</v>
      </c>
      <c r="N177" s="41">
        <f t="shared" si="57"/>
        <v>0.278084923678378</v>
      </c>
      <c r="O177" s="41">
        <f t="shared" si="58"/>
        <v>6.2269449689961025</v>
      </c>
      <c r="P177" s="228">
        <f t="shared" si="59"/>
        <v>192.64524038758066</v>
      </c>
      <c r="Q177" s="41">
        <f t="shared" si="60"/>
        <v>3994.9434515971752</v>
      </c>
      <c r="R177" s="41">
        <f t="shared" si="61"/>
        <v>1302.7077862840217</v>
      </c>
      <c r="S177" s="215">
        <f t="shared" si="43"/>
        <v>0.49248000174724682</v>
      </c>
      <c r="T177" s="215">
        <f t="shared" si="44"/>
        <v>0.54792899715428989</v>
      </c>
      <c r="U177" s="230">
        <f t="shared" si="62"/>
        <v>9.6027411186505631</v>
      </c>
      <c r="V177" s="230">
        <f t="shared" si="45"/>
        <v>9.6227411186505627</v>
      </c>
      <c r="W177" s="41">
        <f t="shared" si="63"/>
        <v>-0.26633131917942876</v>
      </c>
      <c r="X177" s="41">
        <f t="shared" si="64"/>
        <v>3944.5465963796946</v>
      </c>
      <c r="Y177" s="41">
        <f t="shared" si="65"/>
        <v>191.05358849714148</v>
      </c>
      <c r="Z177" s="41">
        <f t="shared" si="66"/>
        <v>1301.5744858747817</v>
      </c>
      <c r="AA177" s="230">
        <f t="shared" si="46"/>
        <v>0.48669068740166621</v>
      </c>
      <c r="AB177" s="230">
        <f t="shared" si="67"/>
        <v>-0.51885152410596125</v>
      </c>
      <c r="AC177" s="41">
        <f t="shared" si="78"/>
        <v>0.54792899715428989</v>
      </c>
      <c r="AD177" s="41">
        <f t="shared" si="47"/>
        <v>7.3002159417995732E-2</v>
      </c>
      <c r="AE177" s="41">
        <f t="shared" si="69"/>
        <v>-2.8722056577402725E-3</v>
      </c>
      <c r="AF177" s="41">
        <f t="shared" si="48"/>
        <v>733.49687954581736</v>
      </c>
      <c r="AG177" s="41">
        <f t="shared" si="49"/>
        <v>700.41118630994936</v>
      </c>
      <c r="AH177" s="41">
        <f t="shared" si="70"/>
        <v>9.683521943045255</v>
      </c>
      <c r="AI177" s="41">
        <f t="shared" si="50"/>
        <v>420.60775480375315</v>
      </c>
      <c r="AJ177" s="41">
        <f t="shared" si="71"/>
        <v>9.6762651586972765</v>
      </c>
      <c r="AK177" s="8">
        <f t="shared" si="74"/>
        <v>62.248094883950877</v>
      </c>
      <c r="AL177" s="42">
        <f t="shared" si="75"/>
        <v>2.7489069830553352</v>
      </c>
      <c r="AZ177" s="8"/>
    </row>
    <row r="178" spans="1:52" x14ac:dyDescent="0.25">
      <c r="A178" s="40"/>
      <c r="B178" s="41">
        <f t="shared" si="77"/>
        <v>733.49687954581736</v>
      </c>
      <c r="C178" s="41">
        <f t="shared" si="77"/>
        <v>700.41118630994936</v>
      </c>
      <c r="D178" s="41">
        <f t="shared" si="77"/>
        <v>9.683521943045255</v>
      </c>
      <c r="E178" s="41">
        <f t="shared" si="72"/>
        <v>16</v>
      </c>
      <c r="F178" s="41">
        <f t="shared" si="52"/>
        <v>16</v>
      </c>
      <c r="G178" s="41">
        <f t="shared" si="53"/>
        <v>4152.976102053246</v>
      </c>
      <c r="H178" s="25">
        <f t="shared" si="79"/>
        <v>0.04</v>
      </c>
      <c r="I178" s="226">
        <f t="shared" si="54"/>
        <v>26.468554588694406</v>
      </c>
      <c r="J178" s="227">
        <f t="shared" si="76"/>
        <v>80</v>
      </c>
      <c r="K178" s="41">
        <f t="shared" si="55"/>
        <v>1</v>
      </c>
      <c r="L178" s="215">
        <f t="shared" si="56"/>
        <v>9.7235219430452542</v>
      </c>
      <c r="M178" s="215">
        <f t="shared" si="42"/>
        <v>9.7035219430452546</v>
      </c>
      <c r="N178" s="41">
        <f t="shared" si="57"/>
        <v>0.2792835593890004</v>
      </c>
      <c r="O178" s="41">
        <f t="shared" si="58"/>
        <v>6.1928726573185386</v>
      </c>
      <c r="P178" s="228">
        <f t="shared" si="59"/>
        <v>193.729479863036</v>
      </c>
      <c r="Q178" s="41">
        <f t="shared" si="60"/>
        <v>4046.7554225733202</v>
      </c>
      <c r="R178" s="41">
        <f t="shared" si="61"/>
        <v>1303.46828263815</v>
      </c>
      <c r="S178" s="215">
        <f t="shared" si="43"/>
        <v>0.50131920191431623</v>
      </c>
      <c r="T178" s="215">
        <f t="shared" si="44"/>
        <v>0.56004474297206375</v>
      </c>
      <c r="U178" s="230">
        <f t="shared" si="62"/>
        <v>9.6435219430452559</v>
      </c>
      <c r="V178" s="230">
        <f t="shared" si="45"/>
        <v>9.6635219430452555</v>
      </c>
      <c r="W178" s="41">
        <f t="shared" si="63"/>
        <v>-0.26743511417024024</v>
      </c>
      <c r="X178" s="41">
        <f t="shared" si="64"/>
        <v>3995.9313924942339</v>
      </c>
      <c r="Y178" s="41">
        <f t="shared" si="65"/>
        <v>192.13558285326275</v>
      </c>
      <c r="Z178" s="41">
        <f t="shared" si="66"/>
        <v>1302.3471036807387</v>
      </c>
      <c r="AA178" s="230">
        <f t="shared" si="46"/>
        <v>0.49544919228748885</v>
      </c>
      <c r="AB178" s="230">
        <f t="shared" si="67"/>
        <v>-0.53004595391039888</v>
      </c>
      <c r="AC178" s="41">
        <f t="shared" si="78"/>
        <v>0.56004474297206375</v>
      </c>
      <c r="AD178" s="41">
        <f t="shared" si="47"/>
        <v>7.1422864872771941E-2</v>
      </c>
      <c r="AE178" s="41">
        <f t="shared" si="69"/>
        <v>-2.8507797396781056E-3</v>
      </c>
      <c r="AF178" s="41">
        <f t="shared" si="48"/>
        <v>733.21611836223428</v>
      </c>
      <c r="AG178" s="41">
        <f t="shared" si="49"/>
        <v>699.85114156697728</v>
      </c>
      <c r="AH178" s="41">
        <f t="shared" si="70"/>
        <v>9.7243064175915173</v>
      </c>
      <c r="AI178" s="41">
        <f t="shared" si="50"/>
        <v>429.65736138862019</v>
      </c>
      <c r="AJ178" s="41">
        <f t="shared" si="71"/>
        <v>9.7956144257496707</v>
      </c>
      <c r="AK178" s="8">
        <f t="shared" si="74"/>
        <v>64.010094487752909</v>
      </c>
      <c r="AL178" s="42">
        <f t="shared" si="75"/>
        <v>2.7832795719664247</v>
      </c>
      <c r="AZ178" s="8"/>
    </row>
    <row r="179" spans="1:52" x14ac:dyDescent="0.25">
      <c r="A179" s="40"/>
      <c r="B179" s="41">
        <f t="shared" si="77"/>
        <v>733.21611836223428</v>
      </c>
      <c r="C179" s="41">
        <f t="shared" si="77"/>
        <v>699.85114156697728</v>
      </c>
      <c r="D179" s="41">
        <f t="shared" si="77"/>
        <v>9.7243064175915173</v>
      </c>
      <c r="E179" s="41">
        <f t="shared" si="72"/>
        <v>16</v>
      </c>
      <c r="F179" s="41">
        <f t="shared" si="52"/>
        <v>16</v>
      </c>
      <c r="G179" s="41">
        <f t="shared" si="53"/>
        <v>4179.7066366559302</v>
      </c>
      <c r="H179" s="25">
        <f t="shared" si="79"/>
        <v>0.02</v>
      </c>
      <c r="I179" s="226">
        <f t="shared" si="54"/>
        <v>26.691981436205609</v>
      </c>
      <c r="J179" s="227">
        <f t="shared" si="76"/>
        <v>80</v>
      </c>
      <c r="K179" s="41">
        <f t="shared" si="55"/>
        <v>1</v>
      </c>
      <c r="L179" s="215">
        <f t="shared" si="56"/>
        <v>9.7443064175915168</v>
      </c>
      <c r="M179" s="215">
        <f t="shared" si="42"/>
        <v>9.734306417591517</v>
      </c>
      <c r="N179" s="41">
        <f t="shared" si="57"/>
        <v>0.14301545497696111</v>
      </c>
      <c r="O179" s="41">
        <f t="shared" si="58"/>
        <v>6.1574218785381154</v>
      </c>
      <c r="P179" s="228">
        <f t="shared" si="59"/>
        <v>194.41568851654242</v>
      </c>
      <c r="Q179" s="41">
        <f t="shared" si="60"/>
        <v>4086.156619154699</v>
      </c>
      <c r="R179" s="41">
        <f t="shared" si="61"/>
        <v>1303.944865514969</v>
      </c>
      <c r="S179" s="215">
        <f t="shared" si="43"/>
        <v>0.5089286144376759</v>
      </c>
      <c r="T179" s="215">
        <f t="shared" si="44"/>
        <v>0.29123149745977284</v>
      </c>
      <c r="U179" s="230">
        <f t="shared" si="62"/>
        <v>9.7043064175915177</v>
      </c>
      <c r="V179" s="230">
        <f t="shared" si="45"/>
        <v>9.7143064175915175</v>
      </c>
      <c r="W179" s="41">
        <f t="shared" si="63"/>
        <v>-0.13149520019469207</v>
      </c>
      <c r="X179" s="41">
        <f t="shared" si="64"/>
        <v>4060.530123153796</v>
      </c>
      <c r="Y179" s="41">
        <f t="shared" si="65"/>
        <v>193.61762049605389</v>
      </c>
      <c r="Z179" s="41">
        <f t="shared" si="66"/>
        <v>1303.3902487901455</v>
      </c>
      <c r="AA179" s="230">
        <f t="shared" si="46"/>
        <v>0.50595204851974429</v>
      </c>
      <c r="AB179" s="230">
        <f t="shared" si="67"/>
        <v>-0.26615878033844492</v>
      </c>
      <c r="AC179" s="41">
        <f t="shared" si="78"/>
        <v>0.29123149745977284</v>
      </c>
      <c r="AD179" s="41">
        <f t="shared" si="47"/>
        <v>6.8673890614330116E-2</v>
      </c>
      <c r="AE179" s="41">
        <f t="shared" si="69"/>
        <v>-6.4584775843087583E-3</v>
      </c>
      <c r="AF179" s="41">
        <f t="shared" si="48"/>
        <v>733.06790231975151</v>
      </c>
      <c r="AG179" s="41">
        <f t="shared" si="49"/>
        <v>699.55991006951751</v>
      </c>
      <c r="AH179" s="41">
        <f t="shared" si="70"/>
        <v>9.7451252390827587</v>
      </c>
      <c r="AI179" s="41">
        <f t="shared" si="50"/>
        <v>223.34648125230072</v>
      </c>
      <c r="AJ179" s="41">
        <f t="shared" si="71"/>
        <v>9.8576551149864216</v>
      </c>
      <c r="AK179" s="8">
        <f t="shared" si="74"/>
        <v>64.937647086871394</v>
      </c>
      <c r="AL179" s="42">
        <f t="shared" si="75"/>
        <v>2.8011472904666088</v>
      </c>
      <c r="AZ179" s="8"/>
    </row>
    <row r="180" spans="1:52" x14ac:dyDescent="0.25">
      <c r="A180" s="40"/>
      <c r="B180" s="41">
        <f t="shared" si="77"/>
        <v>733.06790231975151</v>
      </c>
      <c r="C180" s="41">
        <f t="shared" si="77"/>
        <v>699.55991006951751</v>
      </c>
      <c r="D180" s="41">
        <f t="shared" si="77"/>
        <v>9.7451252390827587</v>
      </c>
      <c r="E180" s="41">
        <f t="shared" si="72"/>
        <v>16</v>
      </c>
      <c r="F180" s="41">
        <f t="shared" si="52"/>
        <v>16</v>
      </c>
      <c r="G180" s="41">
        <f t="shared" si="53"/>
        <v>4206.5539481073274</v>
      </c>
      <c r="H180" s="25">
        <f t="shared" si="79"/>
        <v>0.02</v>
      </c>
      <c r="I180" s="226">
        <f t="shared" si="54"/>
        <v>26.806393800187198</v>
      </c>
      <c r="J180" s="227">
        <f t="shared" si="76"/>
        <v>80</v>
      </c>
      <c r="K180" s="41">
        <f t="shared" si="55"/>
        <v>1</v>
      </c>
      <c r="L180" s="215">
        <f t="shared" si="56"/>
        <v>9.7651252390827583</v>
      </c>
      <c r="M180" s="215">
        <f t="shared" si="42"/>
        <v>9.7551252390827585</v>
      </c>
      <c r="N180" s="41">
        <f t="shared" si="57"/>
        <v>0.1433336933419298</v>
      </c>
      <c r="O180" s="41">
        <f t="shared" si="58"/>
        <v>6.1387071329072906</v>
      </c>
      <c r="P180" s="228">
        <f t="shared" si="59"/>
        <v>194.9702761404005</v>
      </c>
      <c r="Q180" s="41">
        <f t="shared" si="60"/>
        <v>4112.9443836929604</v>
      </c>
      <c r="R180" s="41">
        <f t="shared" si="61"/>
        <v>1304.32739044552</v>
      </c>
      <c r="S180" s="215">
        <f t="shared" si="43"/>
        <v>0.51367603901639314</v>
      </c>
      <c r="T180" s="215">
        <f t="shared" si="44"/>
        <v>0.29472883271478645</v>
      </c>
      <c r="U180" s="230">
        <f t="shared" si="62"/>
        <v>9.7251252390827592</v>
      </c>
      <c r="V180" s="230">
        <f t="shared" si="45"/>
        <v>9.735125239082759</v>
      </c>
      <c r="W180" s="41">
        <f t="shared" si="63"/>
        <v>-0.13176466321247915</v>
      </c>
      <c r="X180" s="41">
        <f t="shared" si="64"/>
        <v>4087.2080424577662</v>
      </c>
      <c r="Y180" s="41">
        <f t="shared" si="65"/>
        <v>194.17163785779621</v>
      </c>
      <c r="Z180" s="41">
        <f t="shared" si="66"/>
        <v>1303.7757850543792</v>
      </c>
      <c r="AA180" s="230">
        <f t="shared" si="46"/>
        <v>0.51067772989092153</v>
      </c>
      <c r="AB180" s="230">
        <f t="shared" si="67"/>
        <v>-0.2692799229904384</v>
      </c>
      <c r="AC180" s="41">
        <f t="shared" si="78"/>
        <v>0.29472883271478645</v>
      </c>
      <c r="AD180" s="41">
        <f t="shared" si="47"/>
        <v>6.7858986905954682E-2</v>
      </c>
      <c r="AE180" s="41">
        <f t="shared" si="69"/>
        <v>-2.7814296170277303E-3</v>
      </c>
      <c r="AF180" s="41">
        <f t="shared" si="48"/>
        <v>732.91650718037863</v>
      </c>
      <c r="AG180" s="41">
        <f t="shared" si="49"/>
        <v>699.26518123680273</v>
      </c>
      <c r="AH180" s="41">
        <f t="shared" si="70"/>
        <v>9.765945857435721</v>
      </c>
      <c r="AI180" s="41">
        <f t="shared" si="50"/>
        <v>225.96231197300528</v>
      </c>
      <c r="AJ180" s="41">
        <f t="shared" si="71"/>
        <v>9.9204224238678123</v>
      </c>
      <c r="AK180" s="8">
        <f t="shared" si="74"/>
        <v>65.882103261859086</v>
      </c>
      <c r="AL180" s="42">
        <f t="shared" si="75"/>
        <v>2.8192242754244492</v>
      </c>
      <c r="AZ180" s="8"/>
    </row>
    <row r="181" spans="1:52" x14ac:dyDescent="0.25">
      <c r="A181" s="40"/>
      <c r="B181" s="41">
        <f t="shared" si="77"/>
        <v>732.91650718037863</v>
      </c>
      <c r="C181" s="41">
        <f t="shared" si="77"/>
        <v>699.26518123680273</v>
      </c>
      <c r="D181" s="41">
        <f t="shared" si="77"/>
        <v>9.765945857435721</v>
      </c>
      <c r="E181" s="41">
        <f t="shared" si="72"/>
        <v>16</v>
      </c>
      <c r="F181" s="41">
        <f t="shared" si="52"/>
        <v>16</v>
      </c>
      <c r="G181" s="41">
        <f t="shared" si="53"/>
        <v>4233.5183107347402</v>
      </c>
      <c r="H181" s="25">
        <f t="shared" si="79"/>
        <v>0.02</v>
      </c>
      <c r="I181" s="226">
        <f t="shared" si="54"/>
        <v>26.921060754860719</v>
      </c>
      <c r="J181" s="227">
        <f t="shared" si="76"/>
        <v>80</v>
      </c>
      <c r="K181" s="41">
        <f t="shared" si="55"/>
        <v>1</v>
      </c>
      <c r="L181" s="215">
        <f t="shared" si="56"/>
        <v>9.7859458574357205</v>
      </c>
      <c r="M181" s="215">
        <f t="shared" si="42"/>
        <v>9.7759458574357208</v>
      </c>
      <c r="N181" s="41">
        <f t="shared" si="57"/>
        <v>0.14365201133647076</v>
      </c>
      <c r="O181" s="41">
        <f t="shared" si="58"/>
        <v>6.1195909733091414</v>
      </c>
      <c r="P181" s="228">
        <f t="shared" si="59"/>
        <v>195.52530693296774</v>
      </c>
      <c r="Q181" s="41">
        <f t="shared" si="60"/>
        <v>4139.8490572529736</v>
      </c>
      <c r="R181" s="41">
        <f t="shared" si="61"/>
        <v>1304.7078772141422</v>
      </c>
      <c r="S181" s="215">
        <f t="shared" si="43"/>
        <v>0.51850007890615024</v>
      </c>
      <c r="T181" s="215">
        <f t="shared" si="44"/>
        <v>0.29834275156292572</v>
      </c>
      <c r="U181" s="230">
        <f t="shared" si="62"/>
        <v>9.7459458574357214</v>
      </c>
      <c r="V181" s="230">
        <f t="shared" si="45"/>
        <v>9.7559458574357212</v>
      </c>
      <c r="W181" s="41">
        <f t="shared" si="63"/>
        <v>-0.13203409732483351</v>
      </c>
      <c r="X181" s="41">
        <f t="shared" si="64"/>
        <v>4114.0026263555874</v>
      </c>
      <c r="Y181" s="41">
        <f t="shared" si="65"/>
        <v>194.72609914992478</v>
      </c>
      <c r="Z181" s="41">
        <f t="shared" si="66"/>
        <v>1304.1592599278592</v>
      </c>
      <c r="AA181" s="230">
        <f t="shared" si="46"/>
        <v>0.51547966773693743</v>
      </c>
      <c r="AB181" s="230">
        <f t="shared" si="67"/>
        <v>-0.27250476096253418</v>
      </c>
      <c r="AC181" s="41">
        <f t="shared" si="78"/>
        <v>0.29834275156292572</v>
      </c>
      <c r="AD181" s="41">
        <f t="shared" si="47"/>
        <v>6.7036989822029075E-2</v>
      </c>
      <c r="AE181" s="41">
        <f t="shared" si="69"/>
        <v>-2.7719995552533453E-3</v>
      </c>
      <c r="AF181" s="41">
        <f t="shared" si="48"/>
        <v>732.76181644015219</v>
      </c>
      <c r="AG181" s="41">
        <f t="shared" si="49"/>
        <v>698.9668384852398</v>
      </c>
      <c r="AH181" s="41">
        <f t="shared" si="70"/>
        <v>9.786768272712413</v>
      </c>
      <c r="AI181" s="41">
        <f t="shared" si="50"/>
        <v>228.66632199688837</v>
      </c>
      <c r="AJ181" s="41">
        <f t="shared" si="71"/>
        <v>9.9839408466447264</v>
      </c>
      <c r="AK181" s="8">
        <f t="shared" si="74"/>
        <v>66.844000481454273</v>
      </c>
      <c r="AL181" s="42">
        <f t="shared" si="75"/>
        <v>2.8375175811842004</v>
      </c>
      <c r="AZ181" s="8"/>
    </row>
    <row r="182" spans="1:52" x14ac:dyDescent="0.25">
      <c r="A182" s="40"/>
      <c r="B182" s="41">
        <f t="shared" si="77"/>
        <v>732.76181644015219</v>
      </c>
      <c r="C182" s="41">
        <f t="shared" si="77"/>
        <v>698.9668384852398</v>
      </c>
      <c r="D182" s="41">
        <f t="shared" si="77"/>
        <v>9.786768272712413</v>
      </c>
      <c r="E182" s="41">
        <f t="shared" si="72"/>
        <v>16</v>
      </c>
      <c r="F182" s="41">
        <f t="shared" si="52"/>
        <v>16</v>
      </c>
      <c r="G182" s="41">
        <f t="shared" si="53"/>
        <v>4260.5999989968777</v>
      </c>
      <c r="H182" s="25">
        <f t="shared" si="79"/>
        <v>0.02</v>
      </c>
      <c r="I182" s="226">
        <f t="shared" si="54"/>
        <v>27.035982363929907</v>
      </c>
      <c r="J182" s="227">
        <f t="shared" si="76"/>
        <v>80</v>
      </c>
      <c r="K182" s="41">
        <f t="shared" si="55"/>
        <v>1</v>
      </c>
      <c r="L182" s="215">
        <f t="shared" si="56"/>
        <v>9.8067682727124126</v>
      </c>
      <c r="M182" s="215">
        <f t="shared" si="42"/>
        <v>9.7967682727124128</v>
      </c>
      <c r="N182" s="41">
        <f t="shared" si="57"/>
        <v>0.1439704089751217</v>
      </c>
      <c r="O182" s="41">
        <f t="shared" si="58"/>
        <v>6.1000586891765494</v>
      </c>
      <c r="P182" s="228">
        <f t="shared" si="59"/>
        <v>196.08078043752636</v>
      </c>
      <c r="Q182" s="41">
        <f t="shared" si="60"/>
        <v>4166.8709142160578</v>
      </c>
      <c r="R182" s="41">
        <f t="shared" si="61"/>
        <v>1305.0863413959044</v>
      </c>
      <c r="S182" s="215">
        <f t="shared" si="43"/>
        <v>0.5234037003735994</v>
      </c>
      <c r="T182" s="215">
        <f t="shared" si="44"/>
        <v>0.302080417090898</v>
      </c>
      <c r="U182" s="230">
        <f t="shared" si="62"/>
        <v>9.7667682727124134</v>
      </c>
      <c r="V182" s="230">
        <f t="shared" si="45"/>
        <v>9.7767682727124132</v>
      </c>
      <c r="W182" s="41">
        <f t="shared" si="63"/>
        <v>-0.13230350251902223</v>
      </c>
      <c r="X182" s="41">
        <f t="shared" si="64"/>
        <v>4140.9141491674172</v>
      </c>
      <c r="Y182" s="41">
        <f t="shared" si="65"/>
        <v>195.28100391305128</v>
      </c>
      <c r="Z182" s="41">
        <f t="shared" si="66"/>
        <v>1304.5406892187173</v>
      </c>
      <c r="AA182" s="230">
        <f t="shared" si="46"/>
        <v>0.52036081324139616</v>
      </c>
      <c r="AB182" s="230">
        <f t="shared" si="67"/>
        <v>-0.27583964398974109</v>
      </c>
      <c r="AC182" s="41">
        <f t="shared" si="78"/>
        <v>0.302080417090898</v>
      </c>
      <c r="AD182" s="41">
        <f t="shared" si="47"/>
        <v>6.6207535703917769E-2</v>
      </c>
      <c r="AE182" s="41">
        <f t="shared" si="69"/>
        <v>-2.7628984403482628E-3</v>
      </c>
      <c r="AF182" s="41">
        <f t="shared" si="48"/>
        <v>732.60370643203646</v>
      </c>
      <c r="AG182" s="41">
        <f t="shared" si="49"/>
        <v>698.6647580681489</v>
      </c>
      <c r="AH182" s="41">
        <f t="shared" si="70"/>
        <v>9.807592484975407</v>
      </c>
      <c r="AI182" s="41">
        <f t="shared" si="50"/>
        <v>231.46393269873354</v>
      </c>
      <c r="AJ182" s="41">
        <f t="shared" si="71"/>
        <v>10.048236383505486</v>
      </c>
      <c r="AK182" s="8">
        <f t="shared" si="74"/>
        <v>67.823907278809031</v>
      </c>
      <c r="AL182" s="42">
        <f t="shared" si="75"/>
        <v>2.8560346958000991</v>
      </c>
      <c r="AZ182" s="8"/>
    </row>
    <row r="183" spans="1:52" x14ac:dyDescent="0.25">
      <c r="A183" s="40"/>
      <c r="B183" s="41">
        <f t="shared" si="77"/>
        <v>732.60370643203646</v>
      </c>
      <c r="C183" s="41">
        <f t="shared" si="77"/>
        <v>698.6647580681489</v>
      </c>
      <c r="D183" s="41">
        <f t="shared" si="77"/>
        <v>9.807592484975407</v>
      </c>
      <c r="E183" s="41">
        <f t="shared" si="72"/>
        <v>16</v>
      </c>
      <c r="F183" s="41">
        <f t="shared" si="52"/>
        <v>16</v>
      </c>
      <c r="G183" s="41">
        <f t="shared" si="53"/>
        <v>4287.7992874837864</v>
      </c>
      <c r="H183" s="25">
        <f t="shared" si="79"/>
        <v>0.02</v>
      </c>
      <c r="I183" s="226">
        <f t="shared" si="54"/>
        <v>27.151158691110052</v>
      </c>
      <c r="J183" s="227">
        <f t="shared" si="76"/>
        <v>80</v>
      </c>
      <c r="K183" s="41">
        <f t="shared" si="55"/>
        <v>1</v>
      </c>
      <c r="L183" s="215">
        <f t="shared" si="56"/>
        <v>9.8275924849754066</v>
      </c>
      <c r="M183" s="215">
        <f t="shared" si="42"/>
        <v>9.8175924849754068</v>
      </c>
      <c r="N183" s="41">
        <f t="shared" si="57"/>
        <v>0.14428888627227821</v>
      </c>
      <c r="O183" s="41">
        <f t="shared" si="58"/>
        <v>6.0800946654851371</v>
      </c>
      <c r="P183" s="228">
        <f t="shared" si="59"/>
        <v>196.63669619908225</v>
      </c>
      <c r="Q183" s="41">
        <f t="shared" si="60"/>
        <v>4194.0102290948735</v>
      </c>
      <c r="R183" s="41">
        <f t="shared" si="61"/>
        <v>1305.4627984106003</v>
      </c>
      <c r="S183" s="215">
        <f t="shared" si="43"/>
        <v>0.5283900657780336</v>
      </c>
      <c r="T183" s="215">
        <f t="shared" si="44"/>
        <v>0.30594963295316774</v>
      </c>
      <c r="U183" s="230">
        <f t="shared" si="62"/>
        <v>9.7875924849754075</v>
      </c>
      <c r="V183" s="230">
        <f t="shared" si="45"/>
        <v>9.7975924849754072</v>
      </c>
      <c r="W183" s="41">
        <f t="shared" si="63"/>
        <v>-0.1325728787824545</v>
      </c>
      <c r="X183" s="41">
        <f t="shared" si="64"/>
        <v>4167.9428853447407</v>
      </c>
      <c r="Y183" s="41">
        <f t="shared" si="65"/>
        <v>195.83635168952614</v>
      </c>
      <c r="Z183" s="41">
        <f t="shared" si="66"/>
        <v>1304.9200885769299</v>
      </c>
      <c r="AA183" s="230">
        <f t="shared" si="46"/>
        <v>0.52532431266341661</v>
      </c>
      <c r="AB183" s="230">
        <f t="shared" si="67"/>
        <v>-0.27929148747079102</v>
      </c>
      <c r="AC183" s="41">
        <f t="shared" si="78"/>
        <v>0.30594963295316774</v>
      </c>
      <c r="AD183" s="41">
        <f t="shared" si="47"/>
        <v>6.5370236947012245E-2</v>
      </c>
      <c r="AE183" s="41">
        <f t="shared" si="69"/>
        <v>-2.7541361050982369E-3</v>
      </c>
      <c r="AF183" s="41">
        <f t="shared" si="48"/>
        <v>732.44204568535554</v>
      </c>
      <c r="AG183" s="41">
        <f t="shared" si="49"/>
        <v>698.35880843519578</v>
      </c>
      <c r="AH183" s="41">
        <f t="shared" si="70"/>
        <v>9.8284184942878188</v>
      </c>
      <c r="AI183" s="41">
        <f t="shared" si="50"/>
        <v>234.36105059880765</v>
      </c>
      <c r="AJ183" s="41">
        <f t="shared" si="71"/>
        <v>10.113336675338488</v>
      </c>
      <c r="AK183" s="8">
        <f t="shared" si="74"/>
        <v>68.822425970755219</v>
      </c>
      <c r="AL183" s="42">
        <f t="shared" si="75"/>
        <v>2.8747835798480037</v>
      </c>
      <c r="AZ183" s="8"/>
    </row>
    <row r="184" spans="1:52" x14ac:dyDescent="0.25">
      <c r="A184" s="40"/>
      <c r="B184" s="41">
        <f t="shared" si="77"/>
        <v>732.44204568535554</v>
      </c>
      <c r="C184" s="41">
        <f t="shared" si="77"/>
        <v>698.35880843519578</v>
      </c>
      <c r="D184" s="41">
        <f t="shared" si="77"/>
        <v>9.8284184942878188</v>
      </c>
      <c r="E184" s="41">
        <f t="shared" si="72"/>
        <v>16</v>
      </c>
      <c r="F184" s="41">
        <f t="shared" si="52"/>
        <v>16</v>
      </c>
      <c r="G184" s="41">
        <f t="shared" si="53"/>
        <v>4315.1164509169203</v>
      </c>
      <c r="H184" s="25">
        <f t="shared" si="79"/>
        <v>0.02</v>
      </c>
      <c r="I184" s="226">
        <f t="shared" si="54"/>
        <v>27.266589800127804</v>
      </c>
      <c r="J184" s="227">
        <f t="shared" si="76"/>
        <v>80</v>
      </c>
      <c r="K184" s="41">
        <f t="shared" si="55"/>
        <v>1</v>
      </c>
      <c r="L184" s="215">
        <f t="shared" si="56"/>
        <v>9.8484184942878183</v>
      </c>
      <c r="M184" s="215">
        <f t="shared" si="42"/>
        <v>9.8384184942878186</v>
      </c>
      <c r="N184" s="41">
        <f t="shared" si="57"/>
        <v>0.14460744324247798</v>
      </c>
      <c r="O184" s="41">
        <f t="shared" si="58"/>
        <v>6.0596823018708923</v>
      </c>
      <c r="P184" s="228">
        <f t="shared" si="59"/>
        <v>197.1930537643552</v>
      </c>
      <c r="Q184" s="41">
        <f t="shared" si="60"/>
        <v>4221.2672765334455</v>
      </c>
      <c r="R184" s="41">
        <f t="shared" si="61"/>
        <v>1305.8372635246608</v>
      </c>
      <c r="S184" s="215">
        <f t="shared" si="43"/>
        <v>0.53346255182044089</v>
      </c>
      <c r="T184" s="215">
        <f t="shared" si="44"/>
        <v>0.30995891928234243</v>
      </c>
      <c r="U184" s="230">
        <f t="shared" si="62"/>
        <v>9.8084184942878192</v>
      </c>
      <c r="V184" s="230">
        <f t="shared" si="45"/>
        <v>9.818418494287819</v>
      </c>
      <c r="W184" s="41">
        <f t="shared" si="63"/>
        <v>-0.13284222610234053</v>
      </c>
      <c r="X184" s="41">
        <f t="shared" si="64"/>
        <v>4195.0891094704039</v>
      </c>
      <c r="Y184" s="41">
        <f t="shared" si="65"/>
        <v>196.39214202342839</v>
      </c>
      <c r="Z184" s="41">
        <f t="shared" si="66"/>
        <v>1305.297473496269</v>
      </c>
      <c r="AA184" s="230">
        <f t="shared" si="46"/>
        <v>0.53037352549115901</v>
      </c>
      <c r="AB184" s="230">
        <f t="shared" si="67"/>
        <v>-0.28286783925730258</v>
      </c>
      <c r="AC184" s="41">
        <f t="shared" si="78"/>
        <v>0.30995891928234243</v>
      </c>
      <c r="AD184" s="41">
        <f t="shared" si="47"/>
        <v>6.4524679742420793E-2</v>
      </c>
      <c r="AE184" s="41">
        <f t="shared" si="69"/>
        <v>-2.7457232133647298E-3</v>
      </c>
      <c r="AF184" s="41">
        <f t="shared" si="48"/>
        <v>732.27669420931568</v>
      </c>
      <c r="AG184" s="41">
        <f t="shared" si="49"/>
        <v>698.04884951591339</v>
      </c>
      <c r="AH184" s="41">
        <f t="shared" si="70"/>
        <v>9.8492463007133964</v>
      </c>
      <c r="AI184" s="41">
        <f t="shared" si="50"/>
        <v>237.36412487243197</v>
      </c>
      <c r="AJ184" s="41">
        <f t="shared" si="71"/>
        <v>10.179271154469719</v>
      </c>
      <c r="AK184" s="8">
        <f t="shared" si="74"/>
        <v>69.840195696257439</v>
      </c>
      <c r="AL184" s="42">
        <f t="shared" si="75"/>
        <v>2.8937727098377981</v>
      </c>
      <c r="AZ184" s="8"/>
    </row>
    <row r="185" spans="1:52" x14ac:dyDescent="0.25">
      <c r="A185" s="40"/>
      <c r="B185" s="41">
        <f t="shared" si="77"/>
        <v>732.27669420931568</v>
      </c>
      <c r="C185" s="41">
        <f t="shared" si="77"/>
        <v>698.04884951591339</v>
      </c>
      <c r="D185" s="41">
        <f t="shared" si="77"/>
        <v>9.8492463007133964</v>
      </c>
      <c r="E185" s="41">
        <f t="shared" si="72"/>
        <v>16</v>
      </c>
      <c r="F185" s="41">
        <f t="shared" si="52"/>
        <v>16</v>
      </c>
      <c r="G185" s="41">
        <f t="shared" si="53"/>
        <v>4342.5517641492725</v>
      </c>
      <c r="H185" s="25">
        <f t="shared" si="79"/>
        <v>0.02</v>
      </c>
      <c r="I185" s="226">
        <f t="shared" si="54"/>
        <v>27.382275754721832</v>
      </c>
      <c r="J185" s="227">
        <f t="shared" si="76"/>
        <v>80</v>
      </c>
      <c r="K185" s="41">
        <f t="shared" si="55"/>
        <v>1</v>
      </c>
      <c r="L185" s="215">
        <f t="shared" si="56"/>
        <v>9.8692463007133959</v>
      </c>
      <c r="M185" s="215">
        <f t="shared" si="42"/>
        <v>9.8592463007133961</v>
      </c>
      <c r="N185" s="41">
        <f t="shared" si="57"/>
        <v>0.14492607990008821</v>
      </c>
      <c r="O185" s="41">
        <f t="shared" si="58"/>
        <v>6.0388039221629262</v>
      </c>
      <c r="P185" s="228">
        <f t="shared" si="59"/>
        <v>197.74985268177173</v>
      </c>
      <c r="Q185" s="41">
        <f t="shared" si="60"/>
        <v>4248.6423313073292</v>
      </c>
      <c r="R185" s="41">
        <f t="shared" si="61"/>
        <v>1306.2097518530366</v>
      </c>
      <c r="S185" s="215">
        <f t="shared" si="43"/>
        <v>0.53862477001101583</v>
      </c>
      <c r="T185" s="215">
        <f t="shared" si="44"/>
        <v>0.31411759990571769</v>
      </c>
      <c r="U185" s="230">
        <f t="shared" si="62"/>
        <v>9.8292463007133968</v>
      </c>
      <c r="V185" s="230">
        <f t="shared" si="45"/>
        <v>9.8392463007133966</v>
      </c>
      <c r="W185" s="41">
        <f t="shared" si="63"/>
        <v>-0.13311154446608953</v>
      </c>
      <c r="X185" s="41">
        <f t="shared" si="64"/>
        <v>4222.3530962587656</v>
      </c>
      <c r="Y185" s="41">
        <f t="shared" si="65"/>
        <v>196.94837446055826</v>
      </c>
      <c r="Z185" s="41">
        <f t="shared" si="66"/>
        <v>1305.6728593162306</v>
      </c>
      <c r="AA185" s="230">
        <f t="shared" si="46"/>
        <v>0.535512044802125</v>
      </c>
      <c r="AB185" s="230">
        <f t="shared" si="67"/>
        <v>-0.28657695635914415</v>
      </c>
      <c r="AC185" s="41">
        <f t="shared" si="78"/>
        <v>0.31411759990571769</v>
      </c>
      <c r="AD185" s="41">
        <f t="shared" si="47"/>
        <v>6.367042154276932E-2</v>
      </c>
      <c r="AE185" s="41">
        <f t="shared" si="69"/>
        <v>-2.737671338004784E-3</v>
      </c>
      <c r="AF185" s="41">
        <f t="shared" si="48"/>
        <v>732.10750268931008</v>
      </c>
      <c r="AG185" s="41">
        <f t="shared" si="49"/>
        <v>697.73473191600772</v>
      </c>
      <c r="AH185" s="41">
        <f t="shared" si="70"/>
        <v>9.8700759043163693</v>
      </c>
      <c r="AI185" s="41">
        <f t="shared" si="50"/>
        <v>240.48021342674792</v>
      </c>
      <c r="AJ185" s="41">
        <f t="shared" si="71"/>
        <v>10.246071213754927</v>
      </c>
      <c r="AK185" s="8">
        <f t="shared" si="74"/>
        <v>70.877895821335215</v>
      </c>
      <c r="AL185" s="42">
        <f t="shared" si="75"/>
        <v>2.9130111269119379</v>
      </c>
      <c r="AZ185" s="8"/>
    </row>
    <row r="186" spans="1:52" x14ac:dyDescent="0.25">
      <c r="A186" s="40"/>
      <c r="B186" s="41">
        <f t="shared" si="77"/>
        <v>732.10750268931008</v>
      </c>
      <c r="C186" s="41">
        <f t="shared" si="77"/>
        <v>697.73473191600772</v>
      </c>
      <c r="D186" s="41">
        <f t="shared" si="77"/>
        <v>9.8700759043163693</v>
      </c>
      <c r="E186" s="41">
        <f t="shared" si="72"/>
        <v>16</v>
      </c>
      <c r="F186" s="41">
        <f t="shared" si="52"/>
        <v>16</v>
      </c>
      <c r="G186" s="41">
        <f t="shared" si="53"/>
        <v>4370.1055021652855</v>
      </c>
      <c r="H186" s="25">
        <f t="shared" si="79"/>
        <v>0.02</v>
      </c>
      <c r="I186" s="226">
        <f t="shared" si="54"/>
        <v>27.498216618641891</v>
      </c>
      <c r="J186" s="227">
        <f t="shared" si="76"/>
        <v>80</v>
      </c>
      <c r="K186" s="41">
        <f t="shared" si="55"/>
        <v>1</v>
      </c>
      <c r="L186" s="215">
        <f t="shared" si="56"/>
        <v>9.8900759043163688</v>
      </c>
      <c r="M186" s="215">
        <f t="shared" si="42"/>
        <v>9.8800759043163691</v>
      </c>
      <c r="N186" s="41">
        <f t="shared" si="57"/>
        <v>0.14524479625976028</v>
      </c>
      <c r="O186" s="41">
        <f t="shared" si="58"/>
        <v>6.0174406729035521</v>
      </c>
      <c r="P186" s="228">
        <f t="shared" si="59"/>
        <v>198.30709250145162</v>
      </c>
      <c r="Q186" s="41">
        <f t="shared" si="60"/>
        <v>4276.1356683234726</v>
      </c>
      <c r="R186" s="41">
        <f t="shared" si="61"/>
        <v>1306.5802783610509</v>
      </c>
      <c r="S186" s="215">
        <f t="shared" si="43"/>
        <v>0.54388058969161113</v>
      </c>
      <c r="T186" s="215">
        <f t="shared" si="44"/>
        <v>0.31843590291752372</v>
      </c>
      <c r="U186" s="230">
        <f t="shared" si="62"/>
        <v>9.8500759043163697</v>
      </c>
      <c r="V186" s="230">
        <f t="shared" si="45"/>
        <v>9.8600759043163695</v>
      </c>
      <c r="W186" s="41">
        <f t="shared" si="63"/>
        <v>-0.13338083386092592</v>
      </c>
      <c r="X186" s="41">
        <f t="shared" si="64"/>
        <v>4249.7351205555678</v>
      </c>
      <c r="Y186" s="41">
        <f t="shared" si="65"/>
        <v>197.5050485484239</v>
      </c>
      <c r="Z186" s="41">
        <f t="shared" si="66"/>
        <v>1306.0462612239248</v>
      </c>
      <c r="AA186" s="230">
        <f t="shared" si="46"/>
        <v>0.54074372016494465</v>
      </c>
      <c r="AB186" s="230">
        <f t="shared" si="67"/>
        <v>-0.29042789335146479</v>
      </c>
      <c r="AC186" s="41">
        <f t="shared" si="78"/>
        <v>0.31843590291752372</v>
      </c>
      <c r="AD186" s="41">
        <f t="shared" si="47"/>
        <v>6.2806988209429662E-2</v>
      </c>
      <c r="AE186" s="41">
        <f t="shared" si="69"/>
        <v>-2.7299930503457605E-3</v>
      </c>
      <c r="AF186" s="41">
        <f t="shared" si="48"/>
        <v>731.9343115826523</v>
      </c>
      <c r="AG186" s="41">
        <f t="shared" si="49"/>
        <v>697.41629601309023</v>
      </c>
      <c r="AH186" s="41">
        <f t="shared" si="70"/>
        <v>9.8909073051615728</v>
      </c>
      <c r="AI186" s="41">
        <f t="shared" si="50"/>
        <v>243.71705909794045</v>
      </c>
      <c r="AJ186" s="41">
        <f t="shared" si="71"/>
        <v>10.313770396837688</v>
      </c>
      <c r="AK186" s="8">
        <f t="shared" si="74"/>
        <v>71.936249766274244</v>
      </c>
      <c r="AL186" s="42">
        <f t="shared" si="75"/>
        <v>2.9325084916397732</v>
      </c>
      <c r="AZ186" s="8"/>
    </row>
    <row r="187" spans="1:52" x14ac:dyDescent="0.25">
      <c r="A187" s="40"/>
      <c r="B187" s="41">
        <f t="shared" si="77"/>
        <v>731.9343115826523</v>
      </c>
      <c r="C187" s="41">
        <f t="shared" si="77"/>
        <v>697.41629601309023</v>
      </c>
      <c r="D187" s="41">
        <f t="shared" si="77"/>
        <v>9.8909073051615728</v>
      </c>
      <c r="E187" s="41">
        <f t="shared" si="72"/>
        <v>16</v>
      </c>
      <c r="F187" s="41">
        <f t="shared" si="52"/>
        <v>16</v>
      </c>
      <c r="G187" s="41">
        <f t="shared" si="53"/>
        <v>4397.7779400810086</v>
      </c>
      <c r="H187" s="25">
        <f t="shared" si="79"/>
        <v>0.02</v>
      </c>
      <c r="I187" s="226">
        <f t="shared" si="54"/>
        <v>27.614412455649656</v>
      </c>
      <c r="J187" s="227">
        <f t="shared" si="76"/>
        <v>80</v>
      </c>
      <c r="K187" s="41">
        <f t="shared" si="55"/>
        <v>1</v>
      </c>
      <c r="L187" s="215">
        <f t="shared" si="56"/>
        <v>9.9109073051615724</v>
      </c>
      <c r="M187" s="215">
        <f t="shared" si="42"/>
        <v>9.9009073051615726</v>
      </c>
      <c r="N187" s="41">
        <f t="shared" si="57"/>
        <v>0.1455635923359182</v>
      </c>
      <c r="O187" s="41">
        <f t="shared" si="58"/>
        <v>5.9955724091695632</v>
      </c>
      <c r="P187" s="228">
        <f t="shared" si="59"/>
        <v>198.86477277520189</v>
      </c>
      <c r="Q187" s="41">
        <f t="shared" si="60"/>
        <v>4303.7475626204168</v>
      </c>
      <c r="R187" s="41">
        <f t="shared" si="61"/>
        <v>1306.9488578662297</v>
      </c>
      <c r="S187" s="215">
        <f t="shared" si="43"/>
        <v>0.54923416401150082</v>
      </c>
      <c r="T187" s="215">
        <f t="shared" si="44"/>
        <v>0.3229250770895426</v>
      </c>
      <c r="U187" s="230">
        <f t="shared" si="62"/>
        <v>9.8709073051615732</v>
      </c>
      <c r="V187" s="230">
        <f t="shared" si="45"/>
        <v>9.880907305161573</v>
      </c>
      <c r="W187" s="41">
        <f t="shared" si="63"/>
        <v>-0.13365009427420205</v>
      </c>
      <c r="X187" s="41">
        <f t="shared" si="64"/>
        <v>4277.2354573381372</v>
      </c>
      <c r="Y187" s="41">
        <f t="shared" si="65"/>
        <v>198.06216383623513</v>
      </c>
      <c r="Z187" s="41">
        <f t="shared" si="66"/>
        <v>1306.4176942559475</v>
      </c>
      <c r="AA187" s="230">
        <f t="shared" si="46"/>
        <v>0.54607268347890692</v>
      </c>
      <c r="AB187" s="230">
        <f t="shared" si="67"/>
        <v>-0.2944306046582495</v>
      </c>
      <c r="AC187" s="41">
        <f t="shared" si="78"/>
        <v>0.3229250770895426</v>
      </c>
      <c r="AD187" s="41">
        <f t="shared" si="47"/>
        <v>6.1933870792122724E-2</v>
      </c>
      <c r="AE187" s="41">
        <f t="shared" si="69"/>
        <v>-2.722702018128134E-3</v>
      </c>
      <c r="AF187" s="41">
        <f t="shared" si="48"/>
        <v>731.75695009789865</v>
      </c>
      <c r="AG187" s="41">
        <f t="shared" si="49"/>
        <v>697.09337093600072</v>
      </c>
      <c r="AH187" s="41">
        <f t="shared" si="70"/>
        <v>9.9117405033143839</v>
      </c>
      <c r="AI187" s="41">
        <f t="shared" si="50"/>
        <v>247.0831778504029</v>
      </c>
      <c r="AJ187" s="41">
        <f t="shared" si="71"/>
        <v>10.382404612907244</v>
      </c>
      <c r="AK187" s="8">
        <f t="shared" si="74"/>
        <v>73.016029321290773</v>
      </c>
      <c r="AL187" s="42">
        <f t="shared" si="75"/>
        <v>2.9522751458678056</v>
      </c>
      <c r="AZ187" s="8"/>
    </row>
    <row r="188" spans="1:52" x14ac:dyDescent="0.25">
      <c r="A188" s="40"/>
      <c r="B188" s="41">
        <f t="shared" si="77"/>
        <v>731.75695009789865</v>
      </c>
      <c r="C188" s="41">
        <f t="shared" si="77"/>
        <v>697.09337093600072</v>
      </c>
      <c r="D188" s="41">
        <f t="shared" si="77"/>
        <v>9.9117405033143839</v>
      </c>
      <c r="E188" s="41">
        <f t="shared" si="72"/>
        <v>16</v>
      </c>
      <c r="F188" s="41">
        <f t="shared" si="52"/>
        <v>16</v>
      </c>
      <c r="G188" s="41">
        <f t="shared" si="53"/>
        <v>4425.5693531440847</v>
      </c>
      <c r="H188" s="25">
        <f t="shared" si="79"/>
        <v>0.02</v>
      </c>
      <c r="I188" s="226">
        <f t="shared" si="54"/>
        <v>27.730863329518343</v>
      </c>
      <c r="J188" s="227">
        <f t="shared" si="76"/>
        <v>80</v>
      </c>
      <c r="K188" s="41">
        <f t="shared" si="55"/>
        <v>1</v>
      </c>
      <c r="L188" s="215">
        <f t="shared" si="56"/>
        <v>9.9317405033143835</v>
      </c>
      <c r="M188" s="215">
        <f t="shared" si="42"/>
        <v>9.9217405033143837</v>
      </c>
      <c r="N188" s="41">
        <f t="shared" si="57"/>
        <v>0.14588246814305705</v>
      </c>
      <c r="O188" s="41">
        <f t="shared" si="58"/>
        <v>5.9731775656946695</v>
      </c>
      <c r="P188" s="228">
        <f t="shared" si="59"/>
        <v>199.42289305650601</v>
      </c>
      <c r="Q188" s="41">
        <f t="shared" si="60"/>
        <v>4331.4782893682732</v>
      </c>
      <c r="R188" s="41">
        <f t="shared" si="61"/>
        <v>1307.3155050401017</v>
      </c>
      <c r="S188" s="215">
        <f t="shared" si="43"/>
        <v>0.5546899593298612</v>
      </c>
      <c r="T188" s="215">
        <f t="shared" si="44"/>
        <v>0.32759752716000123</v>
      </c>
      <c r="U188" s="230">
        <f t="shared" si="62"/>
        <v>9.8917405033143844</v>
      </c>
      <c r="V188" s="230">
        <f t="shared" si="45"/>
        <v>9.9017405033143842</v>
      </c>
      <c r="W188" s="41">
        <f t="shared" si="63"/>
        <v>-0.13391932569328446</v>
      </c>
      <c r="X188" s="41">
        <f t="shared" si="64"/>
        <v>4304.8543817153577</v>
      </c>
      <c r="Y188" s="41">
        <f t="shared" si="65"/>
        <v>198.61971987489224</v>
      </c>
      <c r="Z188" s="41">
        <f t="shared" si="66"/>
        <v>1306.7871733002205</v>
      </c>
      <c r="AA188" s="230">
        <f t="shared" si="46"/>
        <v>0.55150337822213968</v>
      </c>
      <c r="AB188" s="230">
        <f t="shared" si="67"/>
        <v>-0.298596063360349</v>
      </c>
      <c r="AC188" s="41">
        <f t="shared" si="78"/>
        <v>0.32759752716000123</v>
      </c>
      <c r="AD188" s="41">
        <f t="shared" si="47"/>
        <v>6.1050521880868291E-2</v>
      </c>
      <c r="AE188" s="41">
        <f t="shared" si="69"/>
        <v>-2.715813118511021E-3</v>
      </c>
      <c r="AF188" s="41">
        <f t="shared" si="48"/>
        <v>731.57523503888171</v>
      </c>
      <c r="AG188" s="41">
        <f t="shared" si="49"/>
        <v>696.76577340884069</v>
      </c>
      <c r="AH188" s="41">
        <f t="shared" si="70"/>
        <v>9.9325754988407375</v>
      </c>
      <c r="AI188" s="41">
        <f t="shared" si="50"/>
        <v>250.58796128173529</v>
      </c>
      <c r="AJ188" s="41">
        <f t="shared" si="71"/>
        <v>10.452012379929949</v>
      </c>
      <c r="AK188" s="8">
        <f t="shared" si="74"/>
        <v>74.118059529465469</v>
      </c>
      <c r="AL188" s="42">
        <f t="shared" si="75"/>
        <v>2.9723221827703443</v>
      </c>
      <c r="AZ188" s="8"/>
    </row>
    <row r="189" spans="1:52" x14ac:dyDescent="0.25">
      <c r="A189" s="40"/>
      <c r="B189" s="41">
        <f t="shared" si="77"/>
        <v>731.57523503888171</v>
      </c>
      <c r="C189" s="41">
        <f t="shared" si="77"/>
        <v>696.76577340884069</v>
      </c>
      <c r="D189" s="41">
        <f t="shared" si="77"/>
        <v>9.9325754988407375</v>
      </c>
      <c r="E189" s="41">
        <f t="shared" si="72"/>
        <v>16</v>
      </c>
      <c r="F189" s="41">
        <f t="shared" si="52"/>
        <v>16</v>
      </c>
      <c r="G189" s="41">
        <f t="shared" si="53"/>
        <v>4453.4800167338353</v>
      </c>
      <c r="H189" s="25">
        <f t="shared" si="79"/>
        <v>0.02</v>
      </c>
      <c r="I189" s="226">
        <f t="shared" si="54"/>
        <v>27.847569304032824</v>
      </c>
      <c r="J189" s="227">
        <f t="shared" si="76"/>
        <v>80</v>
      </c>
      <c r="K189" s="41">
        <f t="shared" si="55"/>
        <v>1</v>
      </c>
      <c r="L189" s="215">
        <f t="shared" si="56"/>
        <v>9.9525754988407371</v>
      </c>
      <c r="M189" s="215">
        <f t="shared" ref="M189:M208" si="80">(D189+L189)/2</f>
        <v>9.9425754988407373</v>
      </c>
      <c r="N189" s="41">
        <f t="shared" si="57"/>
        <v>0.1462014236957998</v>
      </c>
      <c r="O189" s="41">
        <f t="shared" si="58"/>
        <v>5.9502330109094643</v>
      </c>
      <c r="P189" s="228">
        <f t="shared" si="59"/>
        <v>199.9814529005148</v>
      </c>
      <c r="Q189" s="41">
        <f t="shared" si="60"/>
        <v>4359.3281238687932</v>
      </c>
      <c r="R189" s="41">
        <f t="shared" si="61"/>
        <v>1307.6802344099731</v>
      </c>
      <c r="S189" s="215">
        <f t="shared" ref="S189:S208" si="81">Q189/O189/R189</f>
        <v>0.56025278861049854</v>
      </c>
      <c r="T189" s="215">
        <f t="shared" ref="T189:T208" si="82">N189/(1-S189)</f>
        <v>0.33246697172640721</v>
      </c>
      <c r="U189" s="230">
        <f t="shared" si="62"/>
        <v>9.912575498840738</v>
      </c>
      <c r="V189" s="230">
        <f t="shared" ref="V189:V208" si="83">(D189+U189)/2</f>
        <v>9.9225754988407378</v>
      </c>
      <c r="W189" s="41">
        <f t="shared" si="63"/>
        <v>-0.13418852810542603</v>
      </c>
      <c r="X189" s="41">
        <f t="shared" si="64"/>
        <v>4332.5921689277402</v>
      </c>
      <c r="Y189" s="41">
        <f t="shared" si="65"/>
        <v>199.17771621697736</v>
      </c>
      <c r="Z189" s="41">
        <f t="shared" si="66"/>
        <v>1307.1547130978056</v>
      </c>
      <c r="AA189" s="230">
        <f t="shared" ref="AA189:AA208" si="84">X189/O189/Z189</f>
        <v>0.55704059267097561</v>
      </c>
      <c r="AB189" s="230">
        <f t="shared" si="67"/>
        <v>-0.30293639978110359</v>
      </c>
      <c r="AC189" s="41">
        <f t="shared" si="78"/>
        <v>0.33246697172640721</v>
      </c>
      <c r="AD189" s="41">
        <f t="shared" ref="AD189:AD208" si="85">H189/AC189*K189</f>
        <v>6.0156351459952975E-2</v>
      </c>
      <c r="AE189" s="41">
        <f t="shared" si="69"/>
        <v>-2.7093425640187184E-3</v>
      </c>
      <c r="AF189" s="41">
        <f t="shared" ref="AF189:AF208" si="86">B189-(AC189-N189)</f>
        <v>731.38896949085108</v>
      </c>
      <c r="AG189" s="41">
        <f t="shared" ref="AG189:AG208" si="87">C189-AC189</f>
        <v>696.43330643711431</v>
      </c>
      <c r="AH189" s="41">
        <f t="shared" si="70"/>
        <v>9.9534122918070747</v>
      </c>
      <c r="AI189" s="41">
        <f t="shared" ref="AI189:AI208" si="88">AC189/R189*1000000</f>
        <v>254.24179625718415</v>
      </c>
      <c r="AJ189" s="41">
        <f t="shared" si="71"/>
        <v>10.522635101112499</v>
      </c>
      <c r="AK189" s="8">
        <f t="shared" si="74"/>
        <v>75.243224231269565</v>
      </c>
      <c r="AL189" s="42">
        <f t="shared" si="75"/>
        <v>2.9926615264709189</v>
      </c>
      <c r="AZ189" s="8"/>
    </row>
    <row r="190" spans="1:52" x14ac:dyDescent="0.25">
      <c r="A190" s="40"/>
      <c r="B190" s="41">
        <f t="shared" ref="B190:D208" si="89">AF189</f>
        <v>731.38896949085108</v>
      </c>
      <c r="C190" s="41">
        <f t="shared" si="89"/>
        <v>696.43330643711431</v>
      </c>
      <c r="D190" s="41">
        <f t="shared" si="89"/>
        <v>9.9534122918070747</v>
      </c>
      <c r="E190" s="41">
        <f t="shared" si="72"/>
        <v>16</v>
      </c>
      <c r="F190" s="41">
        <f t="shared" ref="F190:F208" si="90">(E190+E189)/2</f>
        <v>16</v>
      </c>
      <c r="G190" s="41">
        <f t="shared" ref="G190:G208" si="91">F190*$S$53*$C$55*(B190-C190+N190)^1.5</f>
        <v>4481.5102063612067</v>
      </c>
      <c r="H190" s="25">
        <f t="shared" si="79"/>
        <v>0.02</v>
      </c>
      <c r="I190" s="226">
        <f t="shared" ref="I190:I208" si="92">(B190-C190)*B$19</f>
        <v>27.964530442989417</v>
      </c>
      <c r="J190" s="227">
        <f t="shared" si="76"/>
        <v>80</v>
      </c>
      <c r="K190" s="41">
        <f t="shared" ref="K190:K208" si="93">IF((1-S189-0.015)&gt;0,1,-1)</f>
        <v>1</v>
      </c>
      <c r="L190" s="215">
        <f t="shared" ref="L190:L208" si="94">D190+K190*H190</f>
        <v>9.9734122918070742</v>
      </c>
      <c r="M190" s="215">
        <f t="shared" si="80"/>
        <v>9.9634122918070744</v>
      </c>
      <c r="N190" s="41">
        <f t="shared" ref="N190:N208" si="95">2*($P$53*M190/$S$52/$S$51)^2-(B190-C190)*2</f>
        <v>0.14652045900858468</v>
      </c>
      <c r="O190" s="41">
        <f t="shared" ref="O190:O208" si="96">wh(B190,$F$51,$F$52,$F$53)</f>
        <v>5.9267138810447957</v>
      </c>
      <c r="P190" s="228">
        <f t="shared" ref="P190:P208" si="97">$C$54*$L$55*$L$55*M190*M190/(($B$19*(B190-C190))^0.333)*1000</f>
        <v>200.54045186403621</v>
      </c>
      <c r="Q190" s="41">
        <f t="shared" ref="Q190:Q208" si="98">M190/$S$54*(B190-C190+N190/2)*E190-$C$53</f>
        <v>4387.2973415553415</v>
      </c>
      <c r="R190" s="41">
        <f t="shared" ref="R190:R208" si="99">rate1(1,$L$52,$L$51,$L$54,L190,$L$53,$L$50,P190)</f>
        <v>1308.0430603606781</v>
      </c>
      <c r="S190" s="215">
        <f t="shared" si="81"/>
        <v>0.56592784948745367</v>
      </c>
      <c r="T190" s="215">
        <f t="shared" si="82"/>
        <v>0.33754862834571481</v>
      </c>
      <c r="U190" s="230">
        <f t="shared" ref="U190:U208" si="100">D190-K190*H190</f>
        <v>9.9334122918070751</v>
      </c>
      <c r="V190" s="230">
        <f t="shared" si="83"/>
        <v>9.9434122918070749</v>
      </c>
      <c r="W190" s="41">
        <f t="shared" ref="W190:W208" si="101">2*($P$53*V190/$S$52/$S$51)^2-(B190-C190)*2</f>
        <v>-0.13445770149805014</v>
      </c>
      <c r="X190" s="41">
        <f t="shared" ref="X190:X208" si="102">V190/$S$54*(B190-C190+W190/2)*F190-$C$53</f>
        <v>4360.4490943474011</v>
      </c>
      <c r="Y190" s="41">
        <f t="shared" ref="Y190:Y208" si="103">$C$54*$L$55*$L$55*V190*V190/(($B$19*(B190-C190))^0.333)*1000</f>
        <v>199.73615241674366</v>
      </c>
      <c r="Z190" s="41">
        <f t="shared" ref="Z190:Z208" si="104">rate1(1,$L$52,$L$51,$L$54,U190,$L$53,$L$50,Y190)</f>
        <v>1307.5203282446907</v>
      </c>
      <c r="AA190" s="230">
        <f t="shared" si="84"/>
        <v>0.56268949776554233</v>
      </c>
      <c r="AB190" s="230">
        <f t="shared" ref="AB190:AB208" si="105">W190/(1-AA190)</f>
        <v>-0.307465063864308</v>
      </c>
      <c r="AC190" s="41">
        <f t="shared" ref="AC190:AC208" si="106">delta_z(N190,S190,H190,AE189,AB190)</f>
        <v>0.33754862834571481</v>
      </c>
      <c r="AD190" s="41">
        <f t="shared" si="85"/>
        <v>5.9250722178957126E-2</v>
      </c>
      <c r="AE190" s="41">
        <f t="shared" ref="AE190:AE208" si="107">(AD190-AD189)/(AC190+AC189)*2</f>
        <v>-2.703308045061535E-3</v>
      </c>
      <c r="AF190" s="41">
        <f t="shared" si="86"/>
        <v>731.19794132151401</v>
      </c>
      <c r="AG190" s="41">
        <f t="shared" si="87"/>
        <v>696.09575780876855</v>
      </c>
      <c r="AH190" s="41">
        <f t="shared" ref="AH190:AH208" si="108">$S$54*$S$53*$C$55*SQRT(AF190-AG190)</f>
        <v>9.9742508822804297</v>
      </c>
      <c r="AI190" s="41">
        <f t="shared" si="88"/>
        <v>258.05620516241999</v>
      </c>
      <c r="AJ190" s="41">
        <f t="shared" ref="AJ190:AJ208" si="109">AJ189+AI190/3600</f>
        <v>10.594317380324282</v>
      </c>
      <c r="AK190" s="8">
        <f t="shared" si="74"/>
        <v>76.392472384154573</v>
      </c>
      <c r="AL190" s="42">
        <f t="shared" si="75"/>
        <v>3.0133060228839126</v>
      </c>
      <c r="AZ190" s="8"/>
    </row>
    <row r="191" spans="1:52" x14ac:dyDescent="0.25">
      <c r="A191" s="40"/>
      <c r="B191" s="41">
        <f t="shared" si="89"/>
        <v>731.19794132151401</v>
      </c>
      <c r="C191" s="41">
        <f t="shared" si="89"/>
        <v>696.09575780876855</v>
      </c>
      <c r="D191" s="41">
        <f t="shared" si="89"/>
        <v>9.9742508822804297</v>
      </c>
      <c r="E191" s="41">
        <f t="shared" ref="E191:E208" si="110">CalBreachWidth(C191,B191,I191,E190)</f>
        <v>16</v>
      </c>
      <c r="F191" s="41">
        <f t="shared" si="90"/>
        <v>16</v>
      </c>
      <c r="G191" s="41">
        <f t="shared" si="91"/>
        <v>4509.6601976689844</v>
      </c>
      <c r="H191" s="25">
        <f t="shared" ref="H191:H208" si="111">dv(S190)</f>
        <v>0.02</v>
      </c>
      <c r="I191" s="226">
        <f t="shared" si="92"/>
        <v>28.081746810196364</v>
      </c>
      <c r="J191" s="227">
        <f t="shared" si="76"/>
        <v>80</v>
      </c>
      <c r="K191" s="41">
        <f t="shared" si="93"/>
        <v>1</v>
      </c>
      <c r="L191" s="215">
        <f t="shared" si="94"/>
        <v>9.9942508822804292</v>
      </c>
      <c r="M191" s="215">
        <f t="shared" si="80"/>
        <v>9.9842508822804295</v>
      </c>
      <c r="N191" s="41">
        <f t="shared" si="95"/>
        <v>0.14683957409597781</v>
      </c>
      <c r="O191" s="41">
        <f t="shared" si="96"/>
        <v>5.9025933908631689</v>
      </c>
      <c r="P191" s="228">
        <f t="shared" si="97"/>
        <v>201.09988950552852</v>
      </c>
      <c r="Q191" s="41">
        <f t="shared" si="98"/>
        <v>4415.3862179930766</v>
      </c>
      <c r="R191" s="41">
        <f t="shared" si="99"/>
        <v>1308.403997136302</v>
      </c>
      <c r="S191" s="215">
        <f t="shared" si="81"/>
        <v>0.57172076782023928</v>
      </c>
      <c r="T191" s="215">
        <f t="shared" si="82"/>
        <v>0.34285943156437049</v>
      </c>
      <c r="U191" s="230">
        <f t="shared" si="100"/>
        <v>9.9542508822804301</v>
      </c>
      <c r="V191" s="230">
        <f t="shared" si="83"/>
        <v>9.9642508822804299</v>
      </c>
      <c r="W191" s="41">
        <f t="shared" si="101"/>
        <v>-0.13472684585848071</v>
      </c>
      <c r="X191" s="41">
        <f t="shared" si="102"/>
        <v>4388.4254334782381</v>
      </c>
      <c r="Y191" s="41">
        <f t="shared" si="103"/>
        <v>200.29502803010868</v>
      </c>
      <c r="Z191" s="41">
        <f t="shared" si="104"/>
        <v>1307.8840331935546</v>
      </c>
      <c r="AA191" s="230">
        <f t="shared" si="84"/>
        <v>0.56845569043599076</v>
      </c>
      <c r="AB191" s="230">
        <f t="shared" si="105"/>
        <v>-0.31219701632630892</v>
      </c>
      <c r="AC191" s="41">
        <f t="shared" si="106"/>
        <v>0.34285943156437049</v>
      </c>
      <c r="AD191" s="41">
        <f t="shared" si="85"/>
        <v>5.8332943937828001E-2</v>
      </c>
      <c r="AE191" s="41">
        <f t="shared" si="107"/>
        <v>-2.6977288930128416E-3</v>
      </c>
      <c r="AF191" s="41">
        <f t="shared" si="86"/>
        <v>731.00192146404561</v>
      </c>
      <c r="AG191" s="41">
        <f t="shared" si="87"/>
        <v>695.75289837720413</v>
      </c>
      <c r="AH191" s="41">
        <f t="shared" si="108"/>
        <v>9.9950912703283077</v>
      </c>
      <c r="AI191" s="41">
        <f t="shared" si="88"/>
        <v>262.04401111184723</v>
      </c>
      <c r="AJ191" s="41">
        <f t="shared" si="109"/>
        <v>10.667107383410906</v>
      </c>
      <c r="AK191" s="8">
        <f t="shared" ref="AK191:AK208" si="112">AK190+AI191*G190/1000000</f>
        <v>77.566825294468146</v>
      </c>
      <c r="AL191" s="42">
        <f t="shared" ref="AL191:AL208" si="113">AL190+AI191*J191/1000000</f>
        <v>3.0342695437728602</v>
      </c>
      <c r="AZ191" s="8"/>
    </row>
    <row r="192" spans="1:52" x14ac:dyDescent="0.25">
      <c r="A192" s="40"/>
      <c r="B192" s="41">
        <f t="shared" si="89"/>
        <v>731.00192146404561</v>
      </c>
      <c r="C192" s="41">
        <f t="shared" si="89"/>
        <v>695.75289837720413</v>
      </c>
      <c r="D192" s="41">
        <f t="shared" si="89"/>
        <v>9.9950912703283077</v>
      </c>
      <c r="E192" s="41">
        <f t="shared" si="110"/>
        <v>16</v>
      </c>
      <c r="F192" s="41">
        <f t="shared" si="90"/>
        <v>16</v>
      </c>
      <c r="G192" s="41">
        <f t="shared" si="91"/>
        <v>4537.9302664316529</v>
      </c>
      <c r="H192" s="25">
        <f t="shared" si="111"/>
        <v>0.02</v>
      </c>
      <c r="I192" s="226">
        <f t="shared" si="92"/>
        <v>28.19921846947318</v>
      </c>
      <c r="J192" s="227">
        <f t="shared" ref="J192:J208" si="114">IF(H192&gt;0, $B$7,"")</f>
        <v>80</v>
      </c>
      <c r="K192" s="41">
        <f t="shared" si="93"/>
        <v>1</v>
      </c>
      <c r="L192" s="215">
        <f t="shared" si="94"/>
        <v>10.015091270328307</v>
      </c>
      <c r="M192" s="215">
        <f t="shared" si="80"/>
        <v>10.005091270328307</v>
      </c>
      <c r="N192" s="41">
        <f t="shared" si="95"/>
        <v>0.14715876897258795</v>
      </c>
      <c r="O192" s="41">
        <f t="shared" si="96"/>
        <v>5.8778426168601587</v>
      </c>
      <c r="P192" s="228">
        <f t="shared" si="97"/>
        <v>201.65976538508826</v>
      </c>
      <c r="Q192" s="41">
        <f t="shared" si="98"/>
        <v>4443.5950288788299</v>
      </c>
      <c r="R192" s="41">
        <f t="shared" si="99"/>
        <v>1308.7630588418822</v>
      </c>
      <c r="S192" s="215">
        <f t="shared" si="81"/>
        <v>0.57763764773179538</v>
      </c>
      <c r="T192" s="215">
        <f t="shared" si="82"/>
        <v>0.34841829102973781</v>
      </c>
      <c r="U192" s="230">
        <f t="shared" si="100"/>
        <v>9.9750912703283081</v>
      </c>
      <c r="V192" s="230">
        <f t="shared" si="83"/>
        <v>9.9850912703283079</v>
      </c>
      <c r="W192" s="41">
        <f t="shared" si="101"/>
        <v>-0.13499596117402746</v>
      </c>
      <c r="X192" s="41">
        <f t="shared" si="102"/>
        <v>4416.5214619558092</v>
      </c>
      <c r="Y192" s="41">
        <f t="shared" si="103"/>
        <v>200.85434261464198</v>
      </c>
      <c r="Z192" s="41">
        <f t="shared" si="104"/>
        <v>1308.2458422555003</v>
      </c>
      <c r="AA192" s="230">
        <f t="shared" si="84"/>
        <v>0.57434524337719306</v>
      </c>
      <c r="AB192" s="230">
        <f t="shared" si="105"/>
        <v>-0.31714895481281757</v>
      </c>
      <c r="AC192" s="41">
        <f t="shared" si="106"/>
        <v>0.34841829102973781</v>
      </c>
      <c r="AD192" s="41">
        <f t="shared" si="85"/>
        <v>5.7402267661926458E-2</v>
      </c>
      <c r="AE192" s="41">
        <f t="shared" si="107"/>
        <v>-2.6926262643299456E-3</v>
      </c>
      <c r="AF192" s="41">
        <f t="shared" si="86"/>
        <v>730.80066194198844</v>
      </c>
      <c r="AG192" s="41">
        <f t="shared" si="87"/>
        <v>695.40448008617443</v>
      </c>
      <c r="AH192" s="41">
        <f t="shared" si="108"/>
        <v>10.01593345601877</v>
      </c>
      <c r="AI192" s="41">
        <f t="shared" si="88"/>
        <v>266.21953353271709</v>
      </c>
      <c r="AJ192" s="41">
        <f t="shared" si="109"/>
        <v>10.741057253836662</v>
      </c>
      <c r="AK192" s="8">
        <f t="shared" si="112"/>
        <v>78.767384928682645</v>
      </c>
      <c r="AL192" s="42">
        <f t="shared" si="113"/>
        <v>3.0555671064554777</v>
      </c>
      <c r="AZ192" s="8"/>
    </row>
    <row r="193" spans="1:52" x14ac:dyDescent="0.25">
      <c r="A193" s="40"/>
      <c r="B193" s="41">
        <f t="shared" si="89"/>
        <v>730.80066194198844</v>
      </c>
      <c r="C193" s="41">
        <f t="shared" si="89"/>
        <v>695.40448008617443</v>
      </c>
      <c r="D193" s="41">
        <f t="shared" si="89"/>
        <v>10.01593345601877</v>
      </c>
      <c r="E193" s="41">
        <f t="shared" si="110"/>
        <v>16</v>
      </c>
      <c r="F193" s="41">
        <f t="shared" si="90"/>
        <v>16</v>
      </c>
      <c r="G193" s="41">
        <f t="shared" si="91"/>
        <v>4566.3206885555455</v>
      </c>
      <c r="H193" s="25">
        <f t="shared" si="111"/>
        <v>0.02</v>
      </c>
      <c r="I193" s="226">
        <f t="shared" si="92"/>
        <v>28.316945484651207</v>
      </c>
      <c r="J193" s="227">
        <f t="shared" si="114"/>
        <v>80</v>
      </c>
      <c r="K193" s="41">
        <f t="shared" si="93"/>
        <v>1</v>
      </c>
      <c r="L193" s="215">
        <f t="shared" si="94"/>
        <v>10.035933456018769</v>
      </c>
      <c r="M193" s="215">
        <f t="shared" si="80"/>
        <v>10.02593345601877</v>
      </c>
      <c r="N193" s="41">
        <f t="shared" si="95"/>
        <v>0.14747804365289596</v>
      </c>
      <c r="O193" s="41">
        <f t="shared" si="96"/>
        <v>5.8524302478750734</v>
      </c>
      <c r="P193" s="228">
        <f t="shared" si="97"/>
        <v>202.22007906444313</v>
      </c>
      <c r="Q193" s="41">
        <f t="shared" si="98"/>
        <v>4471.9240500412679</v>
      </c>
      <c r="R193" s="41">
        <f t="shared" si="99"/>
        <v>1309.1202594450806</v>
      </c>
      <c r="S193" s="215">
        <f t="shared" si="81"/>
        <v>0.58368512934091232</v>
      </c>
      <c r="T193" s="215">
        <f t="shared" si="82"/>
        <v>0.35424639869197205</v>
      </c>
      <c r="U193" s="230">
        <f t="shared" si="100"/>
        <v>9.9959334560187703</v>
      </c>
      <c r="V193" s="230">
        <f t="shared" si="83"/>
        <v>10.00593345601877</v>
      </c>
      <c r="W193" s="41">
        <f t="shared" si="101"/>
        <v>-0.13526504743211376</v>
      </c>
      <c r="X193" s="41">
        <f t="shared" si="102"/>
        <v>4444.7374555474998</v>
      </c>
      <c r="Y193" s="41">
        <f t="shared" si="103"/>
        <v>201.41409572955808</v>
      </c>
      <c r="Z193" s="41">
        <f t="shared" si="104"/>
        <v>1308.6057696017681</v>
      </c>
      <c r="AA193" s="230">
        <f t="shared" si="84"/>
        <v>0.58036476247722935</v>
      </c>
      <c r="AB193" s="230">
        <f t="shared" si="105"/>
        <v>-0.32233958289733444</v>
      </c>
      <c r="AC193" s="41">
        <f t="shared" si="106"/>
        <v>0.35424639869197205</v>
      </c>
      <c r="AD193" s="41">
        <f t="shared" si="85"/>
        <v>5.6457878114917988E-2</v>
      </c>
      <c r="AE193" s="41">
        <f t="shared" si="107"/>
        <v>-2.6880233511733602E-3</v>
      </c>
      <c r="AF193" s="41">
        <f t="shared" si="86"/>
        <v>730.59389358694932</v>
      </c>
      <c r="AG193" s="41">
        <f t="shared" si="87"/>
        <v>695.05023368748243</v>
      </c>
      <c r="AH193" s="41">
        <f t="shared" si="108"/>
        <v>10.036777439420426</v>
      </c>
      <c r="AI193" s="41">
        <f t="shared" si="88"/>
        <v>270.598820953342</v>
      </c>
      <c r="AJ193" s="41">
        <f t="shared" si="109"/>
        <v>10.816223592990367</v>
      </c>
      <c r="AK193" s="8">
        <f t="shared" si="112"/>
        <v>79.995343508347531</v>
      </c>
      <c r="AL193" s="42">
        <f t="shared" si="113"/>
        <v>3.0772150121317452</v>
      </c>
      <c r="AZ193" s="8"/>
    </row>
    <row r="194" spans="1:52" x14ac:dyDescent="0.25">
      <c r="A194" s="40"/>
      <c r="B194" s="41">
        <f t="shared" si="89"/>
        <v>730.59389358694932</v>
      </c>
      <c r="C194" s="41">
        <f t="shared" si="89"/>
        <v>695.05023368748243</v>
      </c>
      <c r="D194" s="41">
        <f t="shared" si="89"/>
        <v>10.036777439420426</v>
      </c>
      <c r="E194" s="41">
        <f t="shared" si="110"/>
        <v>16</v>
      </c>
      <c r="F194" s="41">
        <f t="shared" si="90"/>
        <v>16</v>
      </c>
      <c r="G194" s="41">
        <f t="shared" si="91"/>
        <v>4594.8317400789265</v>
      </c>
      <c r="H194" s="25">
        <f t="shared" si="111"/>
        <v>0.02</v>
      </c>
      <c r="I194" s="226">
        <f t="shared" si="92"/>
        <v>28.434927919573511</v>
      </c>
      <c r="J194" s="227">
        <f t="shared" si="114"/>
        <v>80</v>
      </c>
      <c r="K194" s="41">
        <f t="shared" si="93"/>
        <v>1</v>
      </c>
      <c r="L194" s="215">
        <f t="shared" si="94"/>
        <v>10.056777439420426</v>
      </c>
      <c r="M194" s="215">
        <f t="shared" si="80"/>
        <v>10.046777439420426</v>
      </c>
      <c r="N194" s="41">
        <f t="shared" si="95"/>
        <v>0.14779739815158166</v>
      </c>
      <c r="O194" s="41">
        <f t="shared" si="96"/>
        <v>5.8263222969121333</v>
      </c>
      <c r="P194" s="228">
        <f t="shared" si="97"/>
        <v>202.78083010694354</v>
      </c>
      <c r="Q194" s="41">
        <f t="shared" si="98"/>
        <v>4500.373557440942</v>
      </c>
      <c r="R194" s="41">
        <f t="shared" si="99"/>
        <v>1309.4756127778376</v>
      </c>
      <c r="S194" s="215">
        <f t="shared" si="81"/>
        <v>0.58987045567662477</v>
      </c>
      <c r="T194" s="215">
        <f t="shared" si="82"/>
        <v>0.36036759652469147</v>
      </c>
      <c r="U194" s="230">
        <f t="shared" si="100"/>
        <v>10.016777439420427</v>
      </c>
      <c r="V194" s="230">
        <f t="shared" si="83"/>
        <v>10.026777439420426</v>
      </c>
      <c r="W194" s="41">
        <f t="shared" si="101"/>
        <v>-0.1355341046200067</v>
      </c>
      <c r="X194" s="41">
        <f t="shared" si="102"/>
        <v>4473.0736901525652</v>
      </c>
      <c r="Y194" s="41">
        <f t="shared" si="103"/>
        <v>201.97428693570802</v>
      </c>
      <c r="Z194" s="41">
        <f t="shared" si="104"/>
        <v>1308.963829265422</v>
      </c>
      <c r="AA194" s="230">
        <f t="shared" si="84"/>
        <v>0.58652145337928208</v>
      </c>
      <c r="AB194" s="230">
        <f t="shared" si="105"/>
        <v>-0.32778993185426752</v>
      </c>
      <c r="AC194" s="41">
        <f t="shared" si="106"/>
        <v>0.36036759652469147</v>
      </c>
      <c r="AD194" s="41">
        <f t="shared" si="85"/>
        <v>5.5498885562619255E-2</v>
      </c>
      <c r="AE194" s="41">
        <f t="shared" si="107"/>
        <v>-2.683945623001623E-3</v>
      </c>
      <c r="AF194" s="41">
        <f t="shared" si="86"/>
        <v>730.38132338857622</v>
      </c>
      <c r="AG194" s="41">
        <f t="shared" si="87"/>
        <v>694.68986609095771</v>
      </c>
      <c r="AH194" s="41">
        <f t="shared" si="108"/>
        <v>10.057623220602393</v>
      </c>
      <c r="AI194" s="41">
        <f t="shared" si="88"/>
        <v>275.19992965751436</v>
      </c>
      <c r="AJ194" s="41">
        <f t="shared" si="109"/>
        <v>10.892668017895232</v>
      </c>
      <c r="AK194" s="8">
        <f t="shared" si="112"/>
        <v>81.251994640631665</v>
      </c>
      <c r="AL194" s="42">
        <f t="shared" si="113"/>
        <v>3.0992310065043465</v>
      </c>
      <c r="AZ194" s="8"/>
    </row>
    <row r="195" spans="1:52" x14ac:dyDescent="0.25">
      <c r="A195" s="40"/>
      <c r="B195" s="41">
        <f t="shared" si="89"/>
        <v>730.38132338857622</v>
      </c>
      <c r="C195" s="41">
        <f t="shared" si="89"/>
        <v>694.68986609095771</v>
      </c>
      <c r="D195" s="41">
        <f t="shared" si="89"/>
        <v>10.057623220602393</v>
      </c>
      <c r="E195" s="41">
        <f t="shared" si="110"/>
        <v>16</v>
      </c>
      <c r="F195" s="41">
        <f t="shared" si="90"/>
        <v>16</v>
      </c>
      <c r="G195" s="41">
        <f t="shared" si="91"/>
        <v>4623.4636971719392</v>
      </c>
      <c r="H195" s="25">
        <f t="shared" si="111"/>
        <v>0.02</v>
      </c>
      <c r="I195" s="226">
        <f t="shared" si="92"/>
        <v>28.553165838094813</v>
      </c>
      <c r="J195" s="227">
        <f t="shared" si="114"/>
        <v>80</v>
      </c>
      <c r="K195" s="41">
        <f t="shared" si="93"/>
        <v>1</v>
      </c>
      <c r="L195" s="215">
        <f t="shared" si="94"/>
        <v>10.077623220602392</v>
      </c>
      <c r="M195" s="215">
        <f t="shared" si="80"/>
        <v>10.067623220602393</v>
      </c>
      <c r="N195" s="41">
        <f t="shared" si="95"/>
        <v>0.14811683248314012</v>
      </c>
      <c r="O195" s="41">
        <f t="shared" si="96"/>
        <v>5.7994817665308904</v>
      </c>
      <c r="P195" s="228">
        <f t="shared" si="97"/>
        <v>203.3420180775521</v>
      </c>
      <c r="Q195" s="41">
        <f t="shared" si="98"/>
        <v>4528.9438271702729</v>
      </c>
      <c r="R195" s="41">
        <f t="shared" si="99"/>
        <v>1309.8291325379973</v>
      </c>
      <c r="S195" s="215">
        <f t="shared" si="81"/>
        <v>0.59620155061277869</v>
      </c>
      <c r="T195" s="215">
        <f t="shared" si="82"/>
        <v>0.36680881936994247</v>
      </c>
      <c r="U195" s="230">
        <f t="shared" si="100"/>
        <v>10.037623220602393</v>
      </c>
      <c r="V195" s="230">
        <f t="shared" si="83"/>
        <v>10.047623220602393</v>
      </c>
      <c r="W195" s="41">
        <f t="shared" si="101"/>
        <v>-0.13580313272515809</v>
      </c>
      <c r="X195" s="41">
        <f t="shared" si="102"/>
        <v>4501.5304418021196</v>
      </c>
      <c r="Y195" s="41">
        <f t="shared" si="103"/>
        <v>202.53491579556837</v>
      </c>
      <c r="Z195" s="41">
        <f t="shared" si="104"/>
        <v>1309.3200351430128</v>
      </c>
      <c r="AA195" s="230">
        <f t="shared" si="84"/>
        <v>0.59282319900538416</v>
      </c>
      <c r="AB195" s="230">
        <f t="shared" si="105"/>
        <v>-0.33352374789877542</v>
      </c>
      <c r="AC195" s="41">
        <f t="shared" si="106"/>
        <v>0.36680881936994247</v>
      </c>
      <c r="AD195" s="41">
        <f t="shared" si="85"/>
        <v>5.4524316057485901E-2</v>
      </c>
      <c r="AE195" s="41">
        <f t="shared" si="107"/>
        <v>-2.6804211023107936E-3</v>
      </c>
      <c r="AF195" s="41">
        <f t="shared" si="86"/>
        <v>730.1626314016894</v>
      </c>
      <c r="AG195" s="41">
        <f t="shared" si="87"/>
        <v>694.3230572715878</v>
      </c>
      <c r="AH195" s="41">
        <f t="shared" si="108"/>
        <v>10.078470799634276</v>
      </c>
      <c r="AI195" s="41">
        <f t="shared" si="88"/>
        <v>280.04325927550065</v>
      </c>
      <c r="AJ195" s="41">
        <f t="shared" si="109"/>
        <v>10.970457812138427</v>
      </c>
      <c r="AK195" s="8">
        <f t="shared" si="112"/>
        <v>82.538746296945888</v>
      </c>
      <c r="AL195" s="42">
        <f t="shared" si="113"/>
        <v>3.1216344672463867</v>
      </c>
      <c r="AZ195" s="8"/>
    </row>
    <row r="196" spans="1:52" x14ac:dyDescent="0.25">
      <c r="A196" s="40"/>
      <c r="B196" s="41">
        <f t="shared" si="89"/>
        <v>730.1626314016894</v>
      </c>
      <c r="C196" s="41">
        <f t="shared" si="89"/>
        <v>694.3230572715878</v>
      </c>
      <c r="D196" s="41">
        <f t="shared" si="89"/>
        <v>10.078470799634276</v>
      </c>
      <c r="E196" s="41">
        <f t="shared" si="110"/>
        <v>16</v>
      </c>
      <c r="F196" s="41">
        <f t="shared" si="90"/>
        <v>16</v>
      </c>
      <c r="G196" s="41">
        <f t="shared" si="91"/>
        <v>4652.216836136683</v>
      </c>
      <c r="H196" s="25">
        <f t="shared" si="111"/>
        <v>0.02</v>
      </c>
      <c r="I196" s="226">
        <f t="shared" si="92"/>
        <v>28.671659304081277</v>
      </c>
      <c r="J196" s="227">
        <f t="shared" si="114"/>
        <v>80</v>
      </c>
      <c r="K196" s="41">
        <f t="shared" si="93"/>
        <v>1</v>
      </c>
      <c r="L196" s="215">
        <f t="shared" si="94"/>
        <v>10.098470799634276</v>
      </c>
      <c r="M196" s="215">
        <f t="shared" si="80"/>
        <v>10.088470799634276</v>
      </c>
      <c r="N196" s="41">
        <f t="shared" si="95"/>
        <v>0.14843634666225114</v>
      </c>
      <c r="O196" s="41">
        <f t="shared" si="96"/>
        <v>5.7718682583199801</v>
      </c>
      <c r="P196" s="228">
        <f t="shared" si="97"/>
        <v>203.9036425428352</v>
      </c>
      <c r="Q196" s="41">
        <f t="shared" si="98"/>
        <v>4557.6351354535836</v>
      </c>
      <c r="R196" s="41">
        <f t="shared" si="99"/>
        <v>1310.1808322909121</v>
      </c>
      <c r="S196" s="215">
        <f t="shared" si="81"/>
        <v>0.60268711011028642</v>
      </c>
      <c r="T196" s="215">
        <f t="shared" si="82"/>
        <v>0.37360063174253977</v>
      </c>
      <c r="U196" s="230">
        <f t="shared" si="100"/>
        <v>10.058470799634277</v>
      </c>
      <c r="V196" s="230">
        <f t="shared" si="83"/>
        <v>10.068470799634277</v>
      </c>
      <c r="W196" s="41">
        <f t="shared" si="101"/>
        <v>-0.13607213173486343</v>
      </c>
      <c r="X196" s="41">
        <f t="shared" si="102"/>
        <v>4530.1079866591708</v>
      </c>
      <c r="Y196" s="41">
        <f t="shared" si="103"/>
        <v>203.095981873233</v>
      </c>
      <c r="Z196" s="41">
        <f t="shared" si="104"/>
        <v>1309.6744009962147</v>
      </c>
      <c r="AA196" s="230">
        <f t="shared" si="84"/>
        <v>0.59927865031739946</v>
      </c>
      <c r="AB196" s="230">
        <f t="shared" si="105"/>
        <v>-0.33956796123451399</v>
      </c>
      <c r="AC196" s="41">
        <f t="shared" si="106"/>
        <v>0.37360063174253977</v>
      </c>
      <c r="AD196" s="41">
        <f t="shared" si="85"/>
        <v>5.3533100055844246E-2</v>
      </c>
      <c r="AE196" s="41">
        <f t="shared" si="107"/>
        <v>-2.6774806835659117E-3</v>
      </c>
      <c r="AF196" s="41">
        <f t="shared" si="86"/>
        <v>729.93746711660913</v>
      </c>
      <c r="AG196" s="41">
        <f t="shared" si="87"/>
        <v>693.94945663984527</v>
      </c>
      <c r="AH196" s="41">
        <f t="shared" si="108"/>
        <v>10.099320176586245</v>
      </c>
      <c r="AI196" s="41">
        <f t="shared" si="88"/>
        <v>285.15195958811404</v>
      </c>
      <c r="AJ196" s="41">
        <f t="shared" si="109"/>
        <v>11.049666689801793</v>
      </c>
      <c r="AK196" s="8">
        <f t="shared" si="112"/>
        <v>83.85713603027898</v>
      </c>
      <c r="AL196" s="42">
        <f t="shared" si="113"/>
        <v>3.1444466240134359</v>
      </c>
      <c r="AZ196" s="8"/>
    </row>
    <row r="197" spans="1:52" x14ac:dyDescent="0.25">
      <c r="A197" s="40"/>
      <c r="B197" s="41">
        <f t="shared" si="89"/>
        <v>729.93746711660913</v>
      </c>
      <c r="C197" s="41">
        <f t="shared" si="89"/>
        <v>693.94945663984527</v>
      </c>
      <c r="D197" s="41">
        <f t="shared" si="89"/>
        <v>10.099320176586245</v>
      </c>
      <c r="E197" s="41">
        <f t="shared" si="110"/>
        <v>16</v>
      </c>
      <c r="F197" s="41">
        <f t="shared" si="90"/>
        <v>16</v>
      </c>
      <c r="G197" s="41">
        <f t="shared" si="91"/>
        <v>4681.0914334072977</v>
      </c>
      <c r="H197" s="25">
        <f t="shared" si="111"/>
        <v>0.02</v>
      </c>
      <c r="I197" s="226">
        <f t="shared" si="92"/>
        <v>28.79040838141109</v>
      </c>
      <c r="J197" s="227">
        <f t="shared" si="114"/>
        <v>80</v>
      </c>
      <c r="K197" s="41">
        <f t="shared" si="93"/>
        <v>1</v>
      </c>
      <c r="L197" s="215">
        <f t="shared" si="94"/>
        <v>10.119320176586244</v>
      </c>
      <c r="M197" s="215">
        <f t="shared" si="80"/>
        <v>10.109320176586245</v>
      </c>
      <c r="N197" s="41">
        <f t="shared" si="95"/>
        <v>0.14875594070340981</v>
      </c>
      <c r="O197" s="41">
        <f t="shared" si="96"/>
        <v>5.7434375145905125</v>
      </c>
      <c r="P197" s="228">
        <f t="shared" si="97"/>
        <v>204.46570307095539</v>
      </c>
      <c r="Q197" s="41">
        <f t="shared" si="98"/>
        <v>4586.4477586472458</v>
      </c>
      <c r="R197" s="41">
        <f t="shared" si="99"/>
        <v>1310.5307254710249</v>
      </c>
      <c r="S197" s="215">
        <f t="shared" si="81"/>
        <v>0.60933670963510966</v>
      </c>
      <c r="T197" s="215">
        <f t="shared" si="82"/>
        <v>0.38077788308307042</v>
      </c>
      <c r="U197" s="230">
        <f t="shared" si="100"/>
        <v>10.079320176586245</v>
      </c>
      <c r="V197" s="230">
        <f t="shared" si="83"/>
        <v>10.089320176586245</v>
      </c>
      <c r="W197" s="41">
        <f t="shared" si="101"/>
        <v>-0.13634110163658875</v>
      </c>
      <c r="X197" s="41">
        <f t="shared" si="102"/>
        <v>4558.8066010187622</v>
      </c>
      <c r="Y197" s="41">
        <f t="shared" si="103"/>
        <v>203.65748473440536</v>
      </c>
      <c r="Z197" s="41">
        <f t="shared" si="104"/>
        <v>1310.0269404534431</v>
      </c>
      <c r="AA197" s="230">
        <f t="shared" si="84"/>
        <v>0.60589733316803929</v>
      </c>
      <c r="AB197" s="230">
        <f t="shared" si="105"/>
        <v>-0.34595325815118749</v>
      </c>
      <c r="AC197" s="41">
        <f t="shared" si="106"/>
        <v>0.38077788308307042</v>
      </c>
      <c r="AD197" s="41">
        <f t="shared" si="85"/>
        <v>5.2524059008009154E-2</v>
      </c>
      <c r="AE197" s="41">
        <f t="shared" si="107"/>
        <v>-2.6751584993598408E-3</v>
      </c>
      <c r="AF197" s="41">
        <f t="shared" si="86"/>
        <v>729.70544517422945</v>
      </c>
      <c r="AG197" s="41">
        <f t="shared" si="87"/>
        <v>693.56867875676221</v>
      </c>
      <c r="AH197" s="41">
        <f t="shared" si="108"/>
        <v>10.12017135152893</v>
      </c>
      <c r="AI197" s="41">
        <f t="shared" si="88"/>
        <v>290.55242710636412</v>
      </c>
      <c r="AJ197" s="41">
        <f t="shared" si="109"/>
        <v>11.130375697331338</v>
      </c>
      <c r="AK197" s="8">
        <f t="shared" si="112"/>
        <v>85.208848923443583</v>
      </c>
      <c r="AL197" s="42">
        <f t="shared" si="113"/>
        <v>3.1676908181819452</v>
      </c>
      <c r="AZ197" s="8"/>
    </row>
    <row r="198" spans="1:52" x14ac:dyDescent="0.25">
      <c r="A198" s="40"/>
      <c r="B198" s="41">
        <f t="shared" si="89"/>
        <v>729.70544517422945</v>
      </c>
      <c r="C198" s="41">
        <f t="shared" si="89"/>
        <v>693.56867875676221</v>
      </c>
      <c r="D198" s="41">
        <f t="shared" si="89"/>
        <v>10.12017135152893</v>
      </c>
      <c r="E198" s="41">
        <f t="shared" si="110"/>
        <v>16</v>
      </c>
      <c r="F198" s="41">
        <f t="shared" si="90"/>
        <v>16</v>
      </c>
      <c r="G198" s="41">
        <f t="shared" si="91"/>
        <v>4710.0877655499589</v>
      </c>
      <c r="H198" s="25">
        <f t="shared" si="111"/>
        <v>0.02</v>
      </c>
      <c r="I198" s="226">
        <f t="shared" si="92"/>
        <v>28.909413133973796</v>
      </c>
      <c r="J198" s="227">
        <f t="shared" si="114"/>
        <v>80</v>
      </c>
      <c r="K198" s="41">
        <f t="shared" si="93"/>
        <v>1</v>
      </c>
      <c r="L198" s="215">
        <f t="shared" si="94"/>
        <v>10.140171351528929</v>
      </c>
      <c r="M198" s="215">
        <f t="shared" si="80"/>
        <v>10.130171351528929</v>
      </c>
      <c r="N198" s="41">
        <f t="shared" si="95"/>
        <v>0.14907561462135277</v>
      </c>
      <c r="O198" s="41">
        <f t="shared" si="96"/>
        <v>5.7141408773327047</v>
      </c>
      <c r="P198" s="228">
        <f t="shared" si="97"/>
        <v>205.02819923166092</v>
      </c>
      <c r="Q198" s="41">
        <f t="shared" si="98"/>
        <v>4615.3819732396005</v>
      </c>
      <c r="R198" s="41">
        <f t="shared" si="99"/>
        <v>1310.8788253834266</v>
      </c>
      <c r="S198" s="215">
        <f t="shared" si="81"/>
        <v>0.61616093137678851</v>
      </c>
      <c r="T198" s="215">
        <f t="shared" si="82"/>
        <v>0.38838051362533416</v>
      </c>
      <c r="U198" s="230">
        <f t="shared" si="100"/>
        <v>10.10017135152893</v>
      </c>
      <c r="V198" s="230">
        <f t="shared" si="83"/>
        <v>10.11017135152893</v>
      </c>
      <c r="W198" s="41">
        <f t="shared" si="101"/>
        <v>-0.13661004241761532</v>
      </c>
      <c r="X198" s="41">
        <f t="shared" si="102"/>
        <v>4587.6265613078931</v>
      </c>
      <c r="Y198" s="41">
        <f t="shared" si="103"/>
        <v>204.21942394638779</v>
      </c>
      <c r="Z198" s="41">
        <f t="shared" si="104"/>
        <v>1310.3776670114453</v>
      </c>
      <c r="AA198" s="230">
        <f t="shared" si="84"/>
        <v>0.61268977484748011</v>
      </c>
      <c r="AB198" s="230">
        <f t="shared" si="105"/>
        <v>-0.35271478403086132</v>
      </c>
      <c r="AC198" s="41">
        <f t="shared" si="106"/>
        <v>0.38838051362533416</v>
      </c>
      <c r="AD198" s="41">
        <f t="shared" si="85"/>
        <v>5.149588946497391E-2</v>
      </c>
      <c r="AE198" s="41">
        <f t="shared" si="107"/>
        <v>-2.6734923454915702E-3</v>
      </c>
      <c r="AF198" s="41">
        <f t="shared" si="86"/>
        <v>729.46614027522548</v>
      </c>
      <c r="AG198" s="41">
        <f t="shared" si="87"/>
        <v>693.18029824313692</v>
      </c>
      <c r="AH198" s="41">
        <f t="shared" si="108"/>
        <v>10.141024324533497</v>
      </c>
      <c r="AI198" s="41">
        <f t="shared" si="88"/>
        <v>296.27491580828189</v>
      </c>
      <c r="AJ198" s="41">
        <f t="shared" si="109"/>
        <v>11.212674285055861</v>
      </c>
      <c r="AK198" s="8">
        <f t="shared" si="112"/>
        <v>86.595738893767205</v>
      </c>
      <c r="AL198" s="42">
        <f t="shared" si="113"/>
        <v>3.1913928114466077</v>
      </c>
      <c r="AZ198" s="8"/>
    </row>
    <row r="199" spans="1:52" x14ac:dyDescent="0.25">
      <c r="A199" s="40"/>
      <c r="B199" s="41">
        <f t="shared" si="89"/>
        <v>729.46614027522548</v>
      </c>
      <c r="C199" s="41">
        <f t="shared" si="89"/>
        <v>693.18029824313692</v>
      </c>
      <c r="D199" s="41">
        <f t="shared" si="89"/>
        <v>10.141024324533497</v>
      </c>
      <c r="E199" s="41">
        <f t="shared" si="110"/>
        <v>16</v>
      </c>
      <c r="F199" s="41">
        <f t="shared" si="90"/>
        <v>16</v>
      </c>
      <c r="G199" s="41">
        <f t="shared" si="91"/>
        <v>4739.2061092629519</v>
      </c>
      <c r="H199" s="25">
        <f t="shared" si="111"/>
        <v>0.02</v>
      </c>
      <c r="I199" s="226">
        <f t="shared" si="92"/>
        <v>29.028673625670855</v>
      </c>
      <c r="J199" s="227">
        <f t="shared" si="114"/>
        <v>80</v>
      </c>
      <c r="K199" s="41">
        <f t="shared" si="93"/>
        <v>1</v>
      </c>
      <c r="L199" s="215">
        <f t="shared" si="94"/>
        <v>10.161024324533496</v>
      </c>
      <c r="M199" s="215">
        <f t="shared" si="80"/>
        <v>10.151024324533497</v>
      </c>
      <c r="N199" s="41">
        <f t="shared" si="95"/>
        <v>0.14939536843061774</v>
      </c>
      <c r="O199" s="41">
        <f t="shared" si="96"/>
        <v>5.68392464541847</v>
      </c>
      <c r="P199" s="228">
        <f t="shared" si="97"/>
        <v>205.59113059627879</v>
      </c>
      <c r="Q199" s="41">
        <f t="shared" si="98"/>
        <v>4644.4380558510975</v>
      </c>
      <c r="R199" s="41">
        <f t="shared" si="99"/>
        <v>1311.2251452053938</v>
      </c>
      <c r="S199" s="215">
        <f t="shared" si="81"/>
        <v>0.62317151588860709</v>
      </c>
      <c r="T199" s="215">
        <f t="shared" si="82"/>
        <v>0.39645455354286729</v>
      </c>
      <c r="U199" s="230">
        <f t="shared" si="100"/>
        <v>10.121024324533497</v>
      </c>
      <c r="V199" s="230">
        <f t="shared" si="83"/>
        <v>10.131024324533497</v>
      </c>
      <c r="W199" s="41">
        <f t="shared" si="101"/>
        <v>-0.13687895406538075</v>
      </c>
      <c r="X199" s="41">
        <f t="shared" si="102"/>
        <v>4616.568144085667</v>
      </c>
      <c r="Y199" s="41">
        <f t="shared" si="103"/>
        <v>204.78179907807464</v>
      </c>
      <c r="Z199" s="41">
        <f t="shared" si="104"/>
        <v>1310.7265940368711</v>
      </c>
      <c r="AA199" s="230">
        <f t="shared" si="84"/>
        <v>0.61966765492211384</v>
      </c>
      <c r="AB199" s="230">
        <f t="shared" si="105"/>
        <v>-0.35989301419354713</v>
      </c>
      <c r="AC199" s="41">
        <f t="shared" si="106"/>
        <v>0.39645455354286729</v>
      </c>
      <c r="AD199" s="41">
        <f t="shared" si="85"/>
        <v>5.0447144120990571E-2</v>
      </c>
      <c r="AE199" s="41">
        <f t="shared" si="107"/>
        <v>-2.6725241719062418E-3</v>
      </c>
      <c r="AF199" s="41">
        <f t="shared" si="86"/>
        <v>729.21908109011326</v>
      </c>
      <c r="AG199" s="41">
        <f t="shared" si="87"/>
        <v>692.78384368959405</v>
      </c>
      <c r="AH199" s="41">
        <f t="shared" si="108"/>
        <v>10.161879095671608</v>
      </c>
      <c r="AI199" s="41">
        <f t="shared" si="88"/>
        <v>302.35429437311893</v>
      </c>
      <c r="AJ199" s="41">
        <f t="shared" si="109"/>
        <v>11.296661589048394</v>
      </c>
      <c r="AK199" s="8">
        <f t="shared" si="112"/>
        <v>88.019854156555525</v>
      </c>
      <c r="AL199" s="42">
        <f t="shared" si="113"/>
        <v>3.2155811549964572</v>
      </c>
      <c r="AZ199" s="8"/>
    </row>
    <row r="200" spans="1:52" x14ac:dyDescent="0.25">
      <c r="A200" s="40"/>
      <c r="B200" s="41">
        <f t="shared" si="89"/>
        <v>729.21908109011326</v>
      </c>
      <c r="C200" s="41">
        <f t="shared" si="89"/>
        <v>692.78384368959405</v>
      </c>
      <c r="D200" s="41">
        <f t="shared" si="89"/>
        <v>10.161879095671608</v>
      </c>
      <c r="E200" s="41">
        <f t="shared" si="110"/>
        <v>16</v>
      </c>
      <c r="F200" s="41">
        <f t="shared" si="90"/>
        <v>16</v>
      </c>
      <c r="G200" s="41">
        <f t="shared" si="91"/>
        <v>4768.4467413767097</v>
      </c>
      <c r="H200" s="25">
        <f t="shared" si="111"/>
        <v>0.02</v>
      </c>
      <c r="I200" s="226">
        <f t="shared" si="92"/>
        <v>29.148189920415373</v>
      </c>
      <c r="J200" s="227">
        <f t="shared" si="114"/>
        <v>80</v>
      </c>
      <c r="K200" s="41">
        <f t="shared" si="93"/>
        <v>1</v>
      </c>
      <c r="L200" s="215">
        <f t="shared" si="94"/>
        <v>10.181879095671608</v>
      </c>
      <c r="M200" s="215">
        <f t="shared" si="80"/>
        <v>10.171879095671608</v>
      </c>
      <c r="N200" s="41">
        <f t="shared" si="95"/>
        <v>0.14971520214584189</v>
      </c>
      <c r="O200" s="41">
        <f t="shared" si="96"/>
        <v>5.6527293056449679</v>
      </c>
      <c r="P200" s="228">
        <f t="shared" si="97"/>
        <v>206.15449673770522</v>
      </c>
      <c r="Q200" s="41">
        <f t="shared" si="98"/>
        <v>4673.616283234297</v>
      </c>
      <c r="R200" s="41">
        <f t="shared" si="99"/>
        <v>1311.569697987904</v>
      </c>
      <c r="S200" s="215">
        <f t="shared" si="81"/>
        <v>0.63038154409526503</v>
      </c>
      <c r="T200" s="215">
        <f t="shared" si="82"/>
        <v>0.40505337261738172</v>
      </c>
      <c r="U200" s="230">
        <f t="shared" si="100"/>
        <v>10.141879095671609</v>
      </c>
      <c r="V200" s="230">
        <f t="shared" si="83"/>
        <v>10.151879095671609</v>
      </c>
      <c r="W200" s="41">
        <f t="shared" si="101"/>
        <v>-0.13714783656728002</v>
      </c>
      <c r="X200" s="41">
        <f t="shared" si="102"/>
        <v>4645.6316260432814</v>
      </c>
      <c r="Y200" s="41">
        <f t="shared" si="103"/>
        <v>205.3446096999424</v>
      </c>
      <c r="Z200" s="41">
        <f t="shared" si="104"/>
        <v>1311.0737347678196</v>
      </c>
      <c r="AA200" s="230">
        <f t="shared" si="84"/>
        <v>0.62684398627968396</v>
      </c>
      <c r="AB200" s="230">
        <f t="shared" si="105"/>
        <v>-0.36753484206226306</v>
      </c>
      <c r="AC200" s="41">
        <f t="shared" si="106"/>
        <v>0.40505337261738172</v>
      </c>
      <c r="AD200" s="41">
        <f t="shared" si="85"/>
        <v>4.9376209043177723E-2</v>
      </c>
      <c r="AE200" s="41">
        <f t="shared" si="107"/>
        <v>-2.6723006544509998E-3</v>
      </c>
      <c r="AF200" s="41">
        <f t="shared" si="86"/>
        <v>728.96374291964173</v>
      </c>
      <c r="AG200" s="41">
        <f t="shared" si="87"/>
        <v>692.37879031697662</v>
      </c>
      <c r="AH200" s="41">
        <f t="shared" si="108"/>
        <v>10.182735665015413</v>
      </c>
      <c r="AI200" s="41">
        <f t="shared" si="88"/>
        <v>308.83099330426694</v>
      </c>
      <c r="AJ200" s="41">
        <f t="shared" si="109"/>
        <v>11.382447976077357</v>
      </c>
      <c r="AK200" s="8">
        <f t="shared" si="112"/>
        <v>89.483467886752848</v>
      </c>
      <c r="AL200" s="42">
        <f t="shared" si="113"/>
        <v>3.2402876344607985</v>
      </c>
      <c r="AZ200" s="8"/>
    </row>
    <row r="201" spans="1:52" x14ac:dyDescent="0.25">
      <c r="A201" s="40"/>
      <c r="B201" s="41">
        <f t="shared" si="89"/>
        <v>728.96374291964173</v>
      </c>
      <c r="C201" s="41">
        <f t="shared" si="89"/>
        <v>692.37879031697662</v>
      </c>
      <c r="D201" s="41">
        <f t="shared" si="89"/>
        <v>10.182735665015413</v>
      </c>
      <c r="E201" s="41">
        <f t="shared" si="110"/>
        <v>16</v>
      </c>
      <c r="F201" s="41">
        <f t="shared" si="90"/>
        <v>16</v>
      </c>
      <c r="G201" s="41">
        <f t="shared" si="91"/>
        <v>4797.809938853864</v>
      </c>
      <c r="H201" s="25">
        <f t="shared" si="111"/>
        <v>0.02</v>
      </c>
      <c r="I201" s="226">
        <f t="shared" si="92"/>
        <v>29.26796208213209</v>
      </c>
      <c r="J201" s="227">
        <f t="shared" si="114"/>
        <v>80</v>
      </c>
      <c r="K201" s="41">
        <f t="shared" si="93"/>
        <v>1</v>
      </c>
      <c r="L201" s="215">
        <f t="shared" si="94"/>
        <v>10.202735665015412</v>
      </c>
      <c r="M201" s="215">
        <f t="shared" si="80"/>
        <v>10.192735665015412</v>
      </c>
      <c r="N201" s="41">
        <f t="shared" si="95"/>
        <v>0.15003511578176187</v>
      </c>
      <c r="O201" s="41">
        <f t="shared" si="96"/>
        <v>5.620488605986762</v>
      </c>
      <c r="P201" s="228">
        <f t="shared" si="97"/>
        <v>206.71829723039716</v>
      </c>
      <c r="Q201" s="41">
        <f t="shared" si="98"/>
        <v>4702.916932273919</v>
      </c>
      <c r="R201" s="41">
        <f t="shared" si="99"/>
        <v>1311.9124966571283</v>
      </c>
      <c r="S201" s="215">
        <f t="shared" si="81"/>
        <v>0.63780565739576067</v>
      </c>
      <c r="T201" s="215">
        <f t="shared" si="82"/>
        <v>0.41423925813689882</v>
      </c>
      <c r="U201" s="230">
        <f t="shared" si="100"/>
        <v>10.162735665015413</v>
      </c>
      <c r="V201" s="230">
        <f t="shared" si="83"/>
        <v>10.172735665015413</v>
      </c>
      <c r="W201" s="41">
        <f t="shared" si="101"/>
        <v>-0.1374166899107081</v>
      </c>
      <c r="X201" s="41">
        <f t="shared" si="102"/>
        <v>4674.8172840040752</v>
      </c>
      <c r="Y201" s="41">
        <f t="shared" si="103"/>
        <v>205.90785538404128</v>
      </c>
      <c r="Z201" s="41">
        <f t="shared" si="104"/>
        <v>1311.4191023153646</v>
      </c>
      <c r="AA201" s="230">
        <f t="shared" si="84"/>
        <v>0.63423333406740334</v>
      </c>
      <c r="AB201" s="230">
        <f t="shared" si="105"/>
        <v>-0.37569495175383533</v>
      </c>
      <c r="AC201" s="41">
        <f t="shared" si="106"/>
        <v>0.41423925813689882</v>
      </c>
      <c r="AD201" s="41">
        <f t="shared" si="85"/>
        <v>4.8281276115530194E-2</v>
      </c>
      <c r="AE201" s="41">
        <f t="shared" si="107"/>
        <v>-2.6728738586101518E-3</v>
      </c>
      <c r="AF201" s="41">
        <f t="shared" si="86"/>
        <v>728.69953877728665</v>
      </c>
      <c r="AG201" s="41">
        <f t="shared" si="87"/>
        <v>691.96455105883967</v>
      </c>
      <c r="AH201" s="41">
        <f t="shared" si="108"/>
        <v>10.203594032637566</v>
      </c>
      <c r="AI201" s="41">
        <f t="shared" si="88"/>
        <v>315.75220084603046</v>
      </c>
      <c r="AJ201" s="41">
        <f t="shared" si="109"/>
        <v>11.470156920756809</v>
      </c>
      <c r="AK201" s="8">
        <f t="shared" si="112"/>
        <v>90.989115439959633</v>
      </c>
      <c r="AL201" s="42">
        <f t="shared" si="113"/>
        <v>3.265547810528481</v>
      </c>
      <c r="AZ201" s="8"/>
    </row>
    <row r="202" spans="1:52" x14ac:dyDescent="0.25">
      <c r="A202" s="40"/>
      <c r="B202" s="41">
        <f t="shared" si="89"/>
        <v>728.69953877728665</v>
      </c>
      <c r="C202" s="41">
        <f t="shared" si="89"/>
        <v>691.96455105883967</v>
      </c>
      <c r="D202" s="41">
        <f t="shared" si="89"/>
        <v>10.203594032637566</v>
      </c>
      <c r="E202" s="41">
        <f t="shared" si="110"/>
        <v>16</v>
      </c>
      <c r="F202" s="41">
        <f t="shared" si="90"/>
        <v>16</v>
      </c>
      <c r="G202" s="41">
        <f t="shared" si="91"/>
        <v>4827.2959787892714</v>
      </c>
      <c r="H202" s="25">
        <f t="shared" si="111"/>
        <v>0.02</v>
      </c>
      <c r="I202" s="226">
        <f t="shared" si="92"/>
        <v>29.387990174757579</v>
      </c>
      <c r="J202" s="227">
        <f t="shared" si="114"/>
        <v>80</v>
      </c>
      <c r="K202" s="41">
        <f t="shared" si="93"/>
        <v>1</v>
      </c>
      <c r="L202" s="215">
        <f t="shared" si="94"/>
        <v>10.223594032637566</v>
      </c>
      <c r="M202" s="215">
        <f t="shared" si="80"/>
        <v>10.213594032637566</v>
      </c>
      <c r="N202" s="41">
        <f t="shared" si="95"/>
        <v>0.15035510935294383</v>
      </c>
      <c r="O202" s="41">
        <f t="shared" si="96"/>
        <v>5.5871284296120596</v>
      </c>
      <c r="P202" s="228">
        <f t="shared" si="97"/>
        <v>207.28253165036455</v>
      </c>
      <c r="Q202" s="41">
        <f t="shared" si="98"/>
        <v>4732.3402799868945</v>
      </c>
      <c r="R202" s="41">
        <f t="shared" si="99"/>
        <v>1312.2535540159049</v>
      </c>
      <c r="S202" s="215">
        <f t="shared" si="81"/>
        <v>0.64546032601444014</v>
      </c>
      <c r="T202" s="215">
        <f t="shared" si="82"/>
        <v>0.42408542790917014</v>
      </c>
      <c r="U202" s="230">
        <f t="shared" si="100"/>
        <v>10.183594032637567</v>
      </c>
      <c r="V202" s="230">
        <f t="shared" si="83"/>
        <v>10.193594032637566</v>
      </c>
      <c r="W202" s="41">
        <f t="shared" si="101"/>
        <v>-0.13768551408300311</v>
      </c>
      <c r="X202" s="41">
        <f t="shared" si="102"/>
        <v>4704.125394923607</v>
      </c>
      <c r="Y202" s="41">
        <f t="shared" si="103"/>
        <v>206.47153570398743</v>
      </c>
      <c r="Z202" s="41">
        <f t="shared" si="104"/>
        <v>1311.7627096650594</v>
      </c>
      <c r="AA202" s="230">
        <f t="shared" si="84"/>
        <v>0.64185208262198978</v>
      </c>
      <c r="AB202" s="230">
        <f t="shared" si="105"/>
        <v>-0.38443756727944833</v>
      </c>
      <c r="AC202" s="41">
        <f t="shared" si="106"/>
        <v>0.42408542790917014</v>
      </c>
      <c r="AD202" s="41">
        <f t="shared" si="85"/>
        <v>4.7160309418326829E-2</v>
      </c>
      <c r="AE202" s="41">
        <f t="shared" si="107"/>
        <v>-2.6743020117667498E-3</v>
      </c>
      <c r="AF202" s="41">
        <f t="shared" si="86"/>
        <v>728.42580845873044</v>
      </c>
      <c r="AG202" s="41">
        <f t="shared" si="87"/>
        <v>691.5404656309305</v>
      </c>
      <c r="AH202" s="41">
        <f t="shared" si="108"/>
        <v>10.224454198611188</v>
      </c>
      <c r="AI202" s="41">
        <f t="shared" si="88"/>
        <v>323.17338871846567</v>
      </c>
      <c r="AJ202" s="41">
        <f t="shared" si="109"/>
        <v>11.559927306511938</v>
      </c>
      <c r="AK202" s="8">
        <f t="shared" si="112"/>
        <v>92.539639936326168</v>
      </c>
      <c r="AL202" s="42">
        <f t="shared" si="113"/>
        <v>3.2914016816259584</v>
      </c>
      <c r="AZ202" s="8"/>
    </row>
    <row r="203" spans="1:52" x14ac:dyDescent="0.25">
      <c r="A203" s="40"/>
      <c r="B203" s="41">
        <f t="shared" si="89"/>
        <v>728.42580845873044</v>
      </c>
      <c r="C203" s="41">
        <f t="shared" si="89"/>
        <v>691.5404656309305</v>
      </c>
      <c r="D203" s="41">
        <f t="shared" si="89"/>
        <v>10.224454198611188</v>
      </c>
      <c r="E203" s="41">
        <f t="shared" si="110"/>
        <v>16</v>
      </c>
      <c r="F203" s="41">
        <f t="shared" si="90"/>
        <v>16</v>
      </c>
      <c r="G203" s="41">
        <f t="shared" si="91"/>
        <v>4856.9051384100367</v>
      </c>
      <c r="H203" s="25">
        <f t="shared" si="111"/>
        <v>0.02</v>
      </c>
      <c r="I203" s="226">
        <f t="shared" si="92"/>
        <v>29.508274262239958</v>
      </c>
      <c r="J203" s="227">
        <f t="shared" si="114"/>
        <v>80</v>
      </c>
      <c r="K203" s="41">
        <f t="shared" si="93"/>
        <v>1</v>
      </c>
      <c r="L203" s="215">
        <f t="shared" si="94"/>
        <v>10.244454198611187</v>
      </c>
      <c r="M203" s="215">
        <f t="shared" si="80"/>
        <v>10.234454198611187</v>
      </c>
      <c r="N203" s="41">
        <f t="shared" si="95"/>
        <v>0.15067518287405335</v>
      </c>
      <c r="O203" s="41">
        <f t="shared" si="96"/>
        <v>5.5525654147223635</v>
      </c>
      <c r="P203" s="228">
        <f t="shared" si="97"/>
        <v>207.8471995751604</v>
      </c>
      <c r="Q203" s="41">
        <f t="shared" si="98"/>
        <v>4761.8866035223828</v>
      </c>
      <c r="R203" s="41">
        <f t="shared" si="99"/>
        <v>1312.5928827451905</v>
      </c>
      <c r="S203" s="215">
        <f t="shared" si="81"/>
        <v>0.6533641790979352</v>
      </c>
      <c r="T203" s="215">
        <f t="shared" si="82"/>
        <v>0.43467862750579284</v>
      </c>
      <c r="U203" s="230">
        <f t="shared" si="100"/>
        <v>10.204454198611188</v>
      </c>
      <c r="V203" s="230">
        <f t="shared" si="83"/>
        <v>10.214454198611188</v>
      </c>
      <c r="W203" s="41">
        <f t="shared" si="101"/>
        <v>-0.13795430907160267</v>
      </c>
      <c r="X203" s="41">
        <f t="shared" si="102"/>
        <v>4733.556235889635</v>
      </c>
      <c r="Y203" s="41">
        <f t="shared" si="103"/>
        <v>207.03565023495281</v>
      </c>
      <c r="Z203" s="41">
        <f t="shared" si="104"/>
        <v>1312.1045696784183</v>
      </c>
      <c r="AA203" s="230">
        <f t="shared" si="84"/>
        <v>0.64971876381745886</v>
      </c>
      <c r="AB203" s="230">
        <f t="shared" si="105"/>
        <v>-0.39383870679190736</v>
      </c>
      <c r="AC203" s="41">
        <f t="shared" si="106"/>
        <v>0.43467862750579284</v>
      </c>
      <c r="AD203" s="41">
        <f t="shared" si="85"/>
        <v>4.6011003841529952E-2</v>
      </c>
      <c r="AE203" s="41">
        <f t="shared" si="107"/>
        <v>-2.6766504013527254E-3</v>
      </c>
      <c r="AF203" s="41">
        <f t="shared" si="86"/>
        <v>728.14180501409874</v>
      </c>
      <c r="AG203" s="41">
        <f t="shared" si="87"/>
        <v>691.10578700342467</v>
      </c>
      <c r="AH203" s="41">
        <f t="shared" si="108"/>
        <v>10.245316163009912</v>
      </c>
      <c r="AI203" s="41">
        <f t="shared" si="88"/>
        <v>331.16028070843623</v>
      </c>
      <c r="AJ203" s="41">
        <f t="shared" si="109"/>
        <v>11.651916273375392</v>
      </c>
      <c r="AK203" s="8">
        <f t="shared" si="112"/>
        <v>94.138248627724735</v>
      </c>
      <c r="AL203" s="42">
        <f t="shared" si="113"/>
        <v>3.3178945040826333</v>
      </c>
      <c r="AZ203" s="8"/>
    </row>
    <row r="204" spans="1:52" x14ac:dyDescent="0.25">
      <c r="A204" s="40"/>
      <c r="B204" s="41">
        <f t="shared" si="89"/>
        <v>728.14180501409874</v>
      </c>
      <c r="C204" s="41">
        <f t="shared" si="89"/>
        <v>691.10578700342467</v>
      </c>
      <c r="D204" s="41">
        <f t="shared" si="89"/>
        <v>10.245316163009912</v>
      </c>
      <c r="E204" s="41">
        <f t="shared" si="110"/>
        <v>16</v>
      </c>
      <c r="F204" s="41">
        <f t="shared" si="90"/>
        <v>16</v>
      </c>
      <c r="G204" s="41">
        <f t="shared" si="91"/>
        <v>4886.6376950756621</v>
      </c>
      <c r="H204" s="25">
        <f t="shared" si="111"/>
        <v>0.02</v>
      </c>
      <c r="I204" s="226">
        <f t="shared" si="92"/>
        <v>29.628814408539256</v>
      </c>
      <c r="J204" s="227">
        <f t="shared" si="114"/>
        <v>80</v>
      </c>
      <c r="K204" s="41">
        <f t="shared" si="93"/>
        <v>1</v>
      </c>
      <c r="L204" s="215">
        <f t="shared" si="94"/>
        <v>10.265316163009912</v>
      </c>
      <c r="M204" s="215">
        <f t="shared" si="80"/>
        <v>10.255316163009912</v>
      </c>
      <c r="N204" s="41">
        <f t="shared" si="95"/>
        <v>0.15099533635982709</v>
      </c>
      <c r="O204" s="41">
        <f t="shared" si="96"/>
        <v>5.5167052464468664</v>
      </c>
      <c r="P204" s="228">
        <f t="shared" si="97"/>
        <v>208.41230058387475</v>
      </c>
      <c r="Q204" s="41">
        <f t="shared" si="98"/>
        <v>4791.5561801618815</v>
      </c>
      <c r="R204" s="41">
        <f t="shared" si="99"/>
        <v>1312.9304954054935</v>
      </c>
      <c r="S204" s="215">
        <f t="shared" si="81"/>
        <v>0.66153841473478392</v>
      </c>
      <c r="T204" s="215">
        <f t="shared" si="82"/>
        <v>0.44612252300806376</v>
      </c>
      <c r="U204" s="230">
        <f t="shared" si="100"/>
        <v>10.225316163009913</v>
      </c>
      <c r="V204" s="230">
        <f t="shared" si="83"/>
        <v>10.235316163009912</v>
      </c>
      <c r="W204" s="41">
        <f t="shared" si="101"/>
        <v>-0.13822307486393015</v>
      </c>
      <c r="X204" s="41">
        <f t="shared" si="102"/>
        <v>4763.1100841222487</v>
      </c>
      <c r="Y204" s="41">
        <f t="shared" si="103"/>
        <v>207.60019855365908</v>
      </c>
      <c r="Z204" s="41">
        <f t="shared" si="104"/>
        <v>1312.44469509438</v>
      </c>
      <c r="AA204" s="230">
        <f t="shared" si="84"/>
        <v>0.6578544649106739</v>
      </c>
      <c r="AB204" s="230">
        <f t="shared" si="105"/>
        <v>-0.4039891235986563</v>
      </c>
      <c r="AC204" s="41">
        <f t="shared" si="106"/>
        <v>0.44612252300806376</v>
      </c>
      <c r="AD204" s="41">
        <f t="shared" si="85"/>
        <v>4.4830733640494759E-2</v>
      </c>
      <c r="AE204" s="41">
        <f t="shared" si="107"/>
        <v>-2.6799924145117808E-3</v>
      </c>
      <c r="AF204" s="41">
        <f t="shared" si="86"/>
        <v>727.84667782745055</v>
      </c>
      <c r="AG204" s="41">
        <f t="shared" si="87"/>
        <v>690.65966448041661</v>
      </c>
      <c r="AH204" s="41">
        <f t="shared" si="108"/>
        <v>10.26617992590784</v>
      </c>
      <c r="AI204" s="41">
        <f t="shared" si="88"/>
        <v>339.79142427511408</v>
      </c>
      <c r="AJ204" s="41">
        <f t="shared" si="109"/>
        <v>11.746302780118478</v>
      </c>
      <c r="AK204" s="8">
        <f t="shared" si="112"/>
        <v>95.788583342274208</v>
      </c>
      <c r="AL204" s="42">
        <f t="shared" si="113"/>
        <v>3.3450778180246425</v>
      </c>
      <c r="AZ204" s="8"/>
    </row>
    <row r="205" spans="1:52" x14ac:dyDescent="0.25">
      <c r="A205" s="40"/>
      <c r="B205" s="41">
        <f t="shared" si="89"/>
        <v>727.84667782745055</v>
      </c>
      <c r="C205" s="41">
        <f t="shared" si="89"/>
        <v>690.65966448041661</v>
      </c>
      <c r="D205" s="41">
        <f t="shared" si="89"/>
        <v>10.26617992590784</v>
      </c>
      <c r="E205" s="41">
        <f t="shared" si="110"/>
        <v>16</v>
      </c>
      <c r="F205" s="41">
        <f t="shared" si="90"/>
        <v>16</v>
      </c>
      <c r="G205" s="41">
        <f t="shared" si="91"/>
        <v>4916.4939262779599</v>
      </c>
      <c r="H205" s="25">
        <f t="shared" si="111"/>
        <v>0.02</v>
      </c>
      <c r="I205" s="226">
        <f t="shared" si="92"/>
        <v>29.749610677627153</v>
      </c>
      <c r="J205" s="227">
        <f t="shared" si="114"/>
        <v>80</v>
      </c>
      <c r="K205" s="41">
        <f t="shared" si="93"/>
        <v>1</v>
      </c>
      <c r="L205" s="215">
        <f t="shared" si="94"/>
        <v>10.28617992590784</v>
      </c>
      <c r="M205" s="215">
        <f t="shared" si="80"/>
        <v>10.27617992590784</v>
      </c>
      <c r="N205" s="41">
        <f t="shared" si="95"/>
        <v>0.15131556982487382</v>
      </c>
      <c r="O205" s="41">
        <f t="shared" si="96"/>
        <v>5.4794405203460883</v>
      </c>
      <c r="P205" s="228">
        <f t="shared" si="97"/>
        <v>208.97783425712456</v>
      </c>
      <c r="Q205" s="41">
        <f t="shared" si="98"/>
        <v>4821.3492873192054</v>
      </c>
      <c r="R205" s="41">
        <f t="shared" si="99"/>
        <v>1313.266404438283</v>
      </c>
      <c r="S205" s="215">
        <f t="shared" si="81"/>
        <v>0.67000731472303099</v>
      </c>
      <c r="T205" s="215">
        <f t="shared" si="82"/>
        <v>0.45854219373945165</v>
      </c>
      <c r="U205" s="230">
        <f t="shared" si="100"/>
        <v>10.246179925907841</v>
      </c>
      <c r="V205" s="230">
        <f t="shared" si="83"/>
        <v>10.256179925907841</v>
      </c>
      <c r="W205" s="41">
        <f t="shared" si="101"/>
        <v>-0.13849181144738054</v>
      </c>
      <c r="X205" s="41">
        <f t="shared" si="102"/>
        <v>4792.7872169738466</v>
      </c>
      <c r="Y205" s="41">
        <f t="shared" si="103"/>
        <v>208.16518023836738</v>
      </c>
      <c r="Z205" s="41">
        <f t="shared" si="104"/>
        <v>1312.7830985307478</v>
      </c>
      <c r="AA205" s="230">
        <f t="shared" si="84"/>
        <v>0.66628334057764971</v>
      </c>
      <c r="AB205" s="230">
        <f t="shared" si="105"/>
        <v>-0.41499819543652428</v>
      </c>
      <c r="AC205" s="41">
        <f t="shared" si="106"/>
        <v>0.45854219373945165</v>
      </c>
      <c r="AD205" s="41">
        <f t="shared" si="85"/>
        <v>4.3616487802132786E-2</v>
      </c>
      <c r="AE205" s="41">
        <f t="shared" si="107"/>
        <v>-2.6844107344596679E-3</v>
      </c>
      <c r="AF205" s="41">
        <f t="shared" si="86"/>
        <v>727.53945120353592</v>
      </c>
      <c r="AG205" s="41">
        <f t="shared" si="87"/>
        <v>690.2011222866771</v>
      </c>
      <c r="AH205" s="41">
        <f t="shared" si="108"/>
        <v>10.287045487379547</v>
      </c>
      <c r="AI205" s="41">
        <f t="shared" si="88"/>
        <v>349.16159599436463</v>
      </c>
      <c r="AJ205" s="41">
        <f t="shared" si="109"/>
        <v>11.843292112339135</v>
      </c>
      <c r="AK205" s="8">
        <f t="shared" si="112"/>
        <v>97.494809558933056</v>
      </c>
      <c r="AL205" s="42">
        <f t="shared" si="113"/>
        <v>3.3730107457041916</v>
      </c>
      <c r="AZ205" s="8"/>
    </row>
    <row r="206" spans="1:52" x14ac:dyDescent="0.25">
      <c r="A206" s="40"/>
      <c r="B206" s="41">
        <f t="shared" si="89"/>
        <v>727.53945120353592</v>
      </c>
      <c r="C206" s="41">
        <f t="shared" si="89"/>
        <v>690.2011222866771</v>
      </c>
      <c r="D206" s="41">
        <f t="shared" si="89"/>
        <v>10.287045487379547</v>
      </c>
      <c r="E206" s="41">
        <f t="shared" si="110"/>
        <v>16</v>
      </c>
      <c r="F206" s="41">
        <f t="shared" si="90"/>
        <v>16</v>
      </c>
      <c r="G206" s="41">
        <f t="shared" si="91"/>
        <v>4946.4741096411935</v>
      </c>
      <c r="H206" s="25">
        <f t="shared" si="111"/>
        <v>0.02</v>
      </c>
      <c r="I206" s="226">
        <f t="shared" si="92"/>
        <v>29.870663133487053</v>
      </c>
      <c r="J206" s="227">
        <f t="shared" si="114"/>
        <v>80</v>
      </c>
      <c r="K206" s="41">
        <f t="shared" si="93"/>
        <v>1</v>
      </c>
      <c r="L206" s="215">
        <f t="shared" si="94"/>
        <v>10.307045487379547</v>
      </c>
      <c r="M206" s="215">
        <f t="shared" si="80"/>
        <v>10.297045487379547</v>
      </c>
      <c r="N206" s="41">
        <f t="shared" si="95"/>
        <v>0.15163588328395861</v>
      </c>
      <c r="O206" s="41">
        <f t="shared" si="96"/>
        <v>5.4406480386331344</v>
      </c>
      <c r="P206" s="228">
        <f t="shared" si="97"/>
        <v>209.54380017704614</v>
      </c>
      <c r="Q206" s="41">
        <f t="shared" si="98"/>
        <v>4851.2662025405607</v>
      </c>
      <c r="R206" s="41">
        <f t="shared" si="99"/>
        <v>1313.6006221673836</v>
      </c>
      <c r="S206" s="215">
        <f t="shared" si="81"/>
        <v>0.67879889852138831</v>
      </c>
      <c r="T206" s="215">
        <f t="shared" si="82"/>
        <v>0.4720901721255642</v>
      </c>
      <c r="U206" s="230">
        <f t="shared" si="100"/>
        <v>10.267045487379548</v>
      </c>
      <c r="V206" s="230">
        <f t="shared" si="83"/>
        <v>10.277045487379548</v>
      </c>
      <c r="W206" s="41">
        <f t="shared" si="101"/>
        <v>-0.13876051880936302</v>
      </c>
      <c r="X206" s="41">
        <f t="shared" si="102"/>
        <v>4822.587911929204</v>
      </c>
      <c r="Y206" s="41">
        <f t="shared" si="103"/>
        <v>208.73059486887075</v>
      </c>
      <c r="Z206" s="41">
        <f t="shared" si="104"/>
        <v>1313.1197924856117</v>
      </c>
      <c r="AA206" s="230">
        <f t="shared" si="84"/>
        <v>0.67503326339262137</v>
      </c>
      <c r="AB206" s="230">
        <f t="shared" si="105"/>
        <v>-0.42699914538333816</v>
      </c>
      <c r="AC206" s="41">
        <f t="shared" si="106"/>
        <v>0.4720901721255642</v>
      </c>
      <c r="AD206" s="41">
        <f t="shared" si="85"/>
        <v>4.236478787505981E-2</v>
      </c>
      <c r="AE206" s="41">
        <f t="shared" si="107"/>
        <v>-2.6899986997755664E-3</v>
      </c>
      <c r="AF206" s="41">
        <f t="shared" si="86"/>
        <v>727.21899691469434</v>
      </c>
      <c r="AG206" s="41">
        <f t="shared" si="87"/>
        <v>689.7290321145515</v>
      </c>
      <c r="AH206" s="41">
        <f t="shared" si="108"/>
        <v>10.307912847500111</v>
      </c>
      <c r="AI206" s="41">
        <f t="shared" si="88"/>
        <v>359.38637981659605</v>
      </c>
      <c r="AJ206" s="41">
        <f t="shared" si="109"/>
        <v>11.94312166228819</v>
      </c>
      <c r="AK206" s="8">
        <f t="shared" si="112"/>
        <v>99.26173051248837</v>
      </c>
      <c r="AL206" s="42">
        <f t="shared" si="113"/>
        <v>3.4017616560895192</v>
      </c>
      <c r="AZ206" s="8"/>
    </row>
    <row r="207" spans="1:52" x14ac:dyDescent="0.25">
      <c r="A207" s="40"/>
      <c r="B207" s="41">
        <f t="shared" si="89"/>
        <v>727.21899691469434</v>
      </c>
      <c r="C207" s="41">
        <f t="shared" si="89"/>
        <v>689.7290321145515</v>
      </c>
      <c r="D207" s="41">
        <f t="shared" si="89"/>
        <v>10.307912847500111</v>
      </c>
      <c r="E207" s="41">
        <f t="shared" si="110"/>
        <v>16</v>
      </c>
      <c r="F207" s="41">
        <f t="shared" si="90"/>
        <v>16</v>
      </c>
      <c r="G207" s="41">
        <f t="shared" si="91"/>
        <v>4976.5785229220801</v>
      </c>
      <c r="H207" s="25">
        <f t="shared" si="111"/>
        <v>0.02</v>
      </c>
      <c r="I207" s="226">
        <f t="shared" si="92"/>
        <v>29.991971840114275</v>
      </c>
      <c r="J207" s="227">
        <f t="shared" si="114"/>
        <v>80</v>
      </c>
      <c r="K207" s="41">
        <f t="shared" si="93"/>
        <v>1</v>
      </c>
      <c r="L207" s="215">
        <f t="shared" si="94"/>
        <v>10.327912847500111</v>
      </c>
      <c r="M207" s="215">
        <f t="shared" si="80"/>
        <v>10.317912847500111</v>
      </c>
      <c r="N207" s="41">
        <f t="shared" si="95"/>
        <v>0.15195627675164758</v>
      </c>
      <c r="O207" s="41">
        <f t="shared" si="96"/>
        <v>5.4001853437620717</v>
      </c>
      <c r="P207" s="228">
        <f t="shared" si="97"/>
        <v>210.11019792728769</v>
      </c>
      <c r="Q207" s="41">
        <f t="shared" si="98"/>
        <v>4881.3072035046116</v>
      </c>
      <c r="R207" s="41">
        <f t="shared" si="99"/>
        <v>1313.9331608003456</v>
      </c>
      <c r="S207" s="215">
        <f t="shared" si="81"/>
        <v>0.68794576497590565</v>
      </c>
      <c r="T207" s="215">
        <f t="shared" si="82"/>
        <v>0.48695470112724065</v>
      </c>
      <c r="U207" s="230">
        <f t="shared" si="100"/>
        <v>10.287912847500111</v>
      </c>
      <c r="V207" s="230">
        <f t="shared" si="83"/>
        <v>10.297912847500111</v>
      </c>
      <c r="W207" s="41">
        <f t="shared" si="101"/>
        <v>-0.13902919693730098</v>
      </c>
      <c r="X207" s="41">
        <f t="shared" si="102"/>
        <v>4852.5124466055522</v>
      </c>
      <c r="Y207" s="41">
        <f t="shared" si="103"/>
        <v>209.29644202648655</v>
      </c>
      <c r="Z207" s="41">
        <f t="shared" si="104"/>
        <v>1313.4547893387492</v>
      </c>
      <c r="AA207" s="230">
        <f t="shared" si="84"/>
        <v>0.68413666108266635</v>
      </c>
      <c r="AB207" s="230">
        <f t="shared" si="105"/>
        <v>-0.44015616821452991</v>
      </c>
      <c r="AC207" s="41">
        <f t="shared" si="106"/>
        <v>0.48695470112724065</v>
      </c>
      <c r="AD207" s="41">
        <f t="shared" si="85"/>
        <v>4.1071582128075657E-2</v>
      </c>
      <c r="AE207" s="41">
        <f t="shared" si="107"/>
        <v>-2.6968618112684782E-3</v>
      </c>
      <c r="AF207" s="41">
        <f t="shared" si="86"/>
        <v>726.88399849031873</v>
      </c>
      <c r="AG207" s="41">
        <f t="shared" si="87"/>
        <v>689.24207741342423</v>
      </c>
      <c r="AH207" s="41">
        <f t="shared" si="108"/>
        <v>10.32878200634503</v>
      </c>
      <c r="AI207" s="41">
        <f t="shared" si="88"/>
        <v>370.60842640627612</v>
      </c>
      <c r="AJ207" s="41">
        <f t="shared" si="109"/>
        <v>12.046068447401044</v>
      </c>
      <c r="AK207" s="8">
        <f t="shared" si="112"/>
        <v>101.09493549852188</v>
      </c>
      <c r="AL207" s="42">
        <f t="shared" si="113"/>
        <v>3.4314103302020214</v>
      </c>
      <c r="AZ207" s="8"/>
    </row>
    <row r="208" spans="1:52" x14ac:dyDescent="0.25">
      <c r="A208" s="40"/>
      <c r="B208" s="41">
        <f t="shared" si="89"/>
        <v>726.88399849031873</v>
      </c>
      <c r="C208" s="41">
        <f t="shared" si="89"/>
        <v>689.24207741342423</v>
      </c>
      <c r="D208" s="41">
        <f t="shared" si="89"/>
        <v>10.32878200634503</v>
      </c>
      <c r="E208" s="41">
        <f t="shared" si="110"/>
        <v>16</v>
      </c>
      <c r="F208" s="41">
        <f t="shared" si="90"/>
        <v>16</v>
      </c>
      <c r="G208" s="41">
        <f t="shared" si="91"/>
        <v>5006.8074440098371</v>
      </c>
      <c r="H208" s="25">
        <f t="shared" si="111"/>
        <v>0.02</v>
      </c>
      <c r="I208" s="226">
        <f t="shared" si="92"/>
        <v>30.113536861515605</v>
      </c>
      <c r="J208" s="227">
        <f t="shared" si="114"/>
        <v>80</v>
      </c>
      <c r="K208" s="41">
        <f t="shared" si="93"/>
        <v>1</v>
      </c>
      <c r="L208" s="215">
        <f t="shared" si="94"/>
        <v>10.348782006345029</v>
      </c>
      <c r="M208" s="215">
        <f t="shared" si="80"/>
        <v>10.33878200634503</v>
      </c>
      <c r="N208" s="41">
        <f t="shared" si="95"/>
        <v>0.15227675024284792</v>
      </c>
      <c r="O208" s="41">
        <f t="shared" si="96"/>
        <v>5.3578862093775772</v>
      </c>
      <c r="P208" s="228">
        <f t="shared" si="97"/>
        <v>210.67702709299931</v>
      </c>
      <c r="Q208" s="41">
        <f t="shared" si="98"/>
        <v>4911.4725680224556</v>
      </c>
      <c r="R208" s="41">
        <f t="shared" si="99"/>
        <v>1314.2640324298004</v>
      </c>
      <c r="S208" s="215">
        <f t="shared" si="81"/>
        <v>0.69748619170913317</v>
      </c>
      <c r="T208" s="215">
        <f t="shared" si="82"/>
        <v>0.50337123816984231</v>
      </c>
      <c r="U208" s="230">
        <f t="shared" si="100"/>
        <v>10.30878200634503</v>
      </c>
      <c r="V208" s="230">
        <f t="shared" si="83"/>
        <v>10.31878200634503</v>
      </c>
      <c r="W208" s="41">
        <f t="shared" si="101"/>
        <v>-0.13929784581861782</v>
      </c>
      <c r="X208" s="41">
        <f t="shared" si="102"/>
        <v>4882.5610987525233</v>
      </c>
      <c r="Y208" s="41">
        <f t="shared" si="103"/>
        <v>209.86272129404617</v>
      </c>
      <c r="Z208" s="41">
        <f t="shared" si="104"/>
        <v>1313.7881013530077</v>
      </c>
      <c r="AA208" s="230">
        <f t="shared" si="84"/>
        <v>0.69363161007196583</v>
      </c>
      <c r="AB208" s="230">
        <f t="shared" si="105"/>
        <v>-0.45467434108113708</v>
      </c>
      <c r="AC208" s="41">
        <f t="shared" si="106"/>
        <v>0.50337123816984231</v>
      </c>
      <c r="AD208" s="41">
        <f t="shared" si="85"/>
        <v>3.9732107207229445E-2</v>
      </c>
      <c r="AE208" s="41">
        <f t="shared" si="107"/>
        <v>-2.7051193303024041E-3</v>
      </c>
      <c r="AF208" s="41">
        <f t="shared" si="86"/>
        <v>726.53290400239177</v>
      </c>
      <c r="AG208" s="41">
        <f t="shared" si="87"/>
        <v>688.73870617525438</v>
      </c>
      <c r="AH208" s="41">
        <f t="shared" si="108"/>
        <v>10.349652963990325</v>
      </c>
      <c r="AI208" s="41">
        <f t="shared" si="88"/>
        <v>383.00617360669435</v>
      </c>
      <c r="AJ208" s="41">
        <f t="shared" si="109"/>
        <v>12.152459051180681</v>
      </c>
      <c r="AK208" s="8">
        <f t="shared" si="112"/>
        <v>103.00099579623952</v>
      </c>
      <c r="AL208" s="42">
        <f t="shared" si="113"/>
        <v>3.4620508240905568</v>
      </c>
      <c r="AZ208" s="8"/>
    </row>
    <row r="209" spans="1:52" x14ac:dyDescent="0.25">
      <c r="A209" s="40"/>
      <c r="B209" s="41"/>
      <c r="C209" s="41"/>
      <c r="D209" s="41"/>
      <c r="E209" s="41"/>
      <c r="F209" s="41"/>
      <c r="G209" s="41"/>
      <c r="H209" s="25"/>
      <c r="I209" s="226"/>
      <c r="J209" s="227"/>
      <c r="K209" s="41"/>
      <c r="L209" s="233"/>
      <c r="M209" s="233"/>
      <c r="N209" s="41"/>
      <c r="O209" s="41"/>
      <c r="P209" s="228"/>
      <c r="Q209" s="234"/>
      <c r="R209" s="41"/>
      <c r="S209" s="233"/>
      <c r="T209" s="233"/>
      <c r="U209" s="234"/>
      <c r="V209" s="234"/>
      <c r="W209" s="41"/>
      <c r="X209" s="41"/>
      <c r="Y209" s="41"/>
      <c r="Z209" s="41"/>
      <c r="AA209" s="234"/>
      <c r="AB209" s="234"/>
      <c r="AC209" s="41"/>
      <c r="AD209" s="41"/>
      <c r="AE209" s="41"/>
      <c r="AF209" s="41"/>
      <c r="AG209" s="41"/>
      <c r="AH209" s="41"/>
      <c r="AI209" s="41"/>
      <c r="AJ209" s="41"/>
      <c r="AZ209" s="8"/>
    </row>
    <row r="210" spans="1:52" x14ac:dyDescent="0.25">
      <c r="A210" s="40"/>
      <c r="B210" s="41"/>
      <c r="C210" s="41"/>
      <c r="D210" s="41"/>
      <c r="E210" s="41"/>
      <c r="F210" s="41"/>
      <c r="G210" s="41"/>
      <c r="H210" s="25"/>
      <c r="I210" s="226"/>
      <c r="J210" s="227"/>
      <c r="K210" s="41"/>
      <c r="L210" s="233"/>
      <c r="M210" s="233"/>
      <c r="N210" s="41"/>
      <c r="O210" s="41"/>
      <c r="P210" s="228"/>
      <c r="Q210" s="234"/>
      <c r="R210" s="41"/>
      <c r="S210" s="233"/>
      <c r="T210" s="233"/>
      <c r="U210" s="234"/>
      <c r="V210" s="234"/>
      <c r="W210" s="41"/>
      <c r="X210" s="41"/>
      <c r="Y210" s="41"/>
      <c r="Z210" s="41"/>
      <c r="AA210" s="234"/>
      <c r="AB210" s="234"/>
      <c r="AC210" s="41"/>
      <c r="AD210" s="41"/>
      <c r="AE210" s="41"/>
      <c r="AF210" s="41"/>
      <c r="AG210" s="41"/>
      <c r="AH210" s="41"/>
      <c r="AI210" s="41"/>
      <c r="AJ210" s="41"/>
    </row>
    <row r="211" spans="1:52" x14ac:dyDescent="0.25">
      <c r="A211" s="40"/>
      <c r="B211" s="41"/>
      <c r="C211" s="41"/>
      <c r="D211" s="41"/>
      <c r="E211" s="41"/>
      <c r="F211" s="41"/>
      <c r="G211" s="41"/>
      <c r="H211" s="25"/>
      <c r="I211" s="226"/>
      <c r="J211" s="227"/>
      <c r="K211" s="41"/>
      <c r="L211" s="233"/>
      <c r="M211" s="233"/>
      <c r="N211" s="41"/>
      <c r="O211" s="41"/>
      <c r="P211" s="228"/>
      <c r="Q211" s="234"/>
      <c r="R211" s="41"/>
      <c r="S211" s="233"/>
      <c r="T211" s="233"/>
      <c r="U211" s="234"/>
      <c r="V211" s="234"/>
      <c r="W211" s="41"/>
      <c r="X211" s="41"/>
      <c r="Y211" s="41"/>
      <c r="Z211" s="41"/>
      <c r="AA211" s="234"/>
      <c r="AB211" s="234"/>
      <c r="AC211" s="41"/>
      <c r="AD211" s="41"/>
      <c r="AE211" s="41"/>
      <c r="AF211" s="41"/>
      <c r="AG211" s="41"/>
      <c r="AH211" s="41"/>
      <c r="AI211" s="41"/>
      <c r="AJ211" s="41"/>
    </row>
    <row r="212" spans="1:52" x14ac:dyDescent="0.25">
      <c r="A212" s="40"/>
      <c r="B212" s="41"/>
      <c r="C212" s="41"/>
      <c r="D212" s="41"/>
      <c r="E212" s="41"/>
      <c r="F212" s="41"/>
      <c r="G212" s="41"/>
      <c r="H212" s="25"/>
      <c r="I212" s="226"/>
      <c r="J212" s="227"/>
      <c r="K212" s="41"/>
      <c r="L212" s="233"/>
      <c r="M212" s="233"/>
      <c r="N212" s="41"/>
      <c r="O212" s="41"/>
      <c r="P212" s="228"/>
      <c r="Q212" s="234"/>
      <c r="R212" s="41"/>
      <c r="S212" s="233"/>
      <c r="T212" s="233"/>
      <c r="U212" s="234"/>
      <c r="V212" s="234"/>
      <c r="W212" s="41"/>
      <c r="X212" s="41"/>
      <c r="Y212" s="41"/>
      <c r="Z212" s="41"/>
      <c r="AA212" s="234"/>
      <c r="AB212" s="234"/>
      <c r="AC212" s="41"/>
      <c r="AD212" s="41"/>
      <c r="AE212" s="41"/>
      <c r="AF212" s="41"/>
      <c r="AG212" s="41"/>
      <c r="AH212" s="41"/>
      <c r="AI212" s="41"/>
      <c r="AJ212" s="41"/>
    </row>
    <row r="213" spans="1:52" x14ac:dyDescent="0.25">
      <c r="A213" s="40"/>
      <c r="B213" s="41"/>
      <c r="C213" s="41"/>
      <c r="D213" s="41"/>
      <c r="E213" s="41"/>
      <c r="F213" s="41"/>
      <c r="G213" s="41"/>
      <c r="H213" s="25"/>
      <c r="I213" s="226"/>
      <c r="J213" s="227"/>
      <c r="K213" s="41"/>
      <c r="L213" s="233"/>
      <c r="M213" s="233"/>
      <c r="N213" s="41"/>
      <c r="O213" s="41"/>
      <c r="P213" s="228"/>
      <c r="Q213" s="234"/>
      <c r="R213" s="41"/>
      <c r="S213" s="233"/>
      <c r="T213" s="233"/>
      <c r="U213" s="234"/>
      <c r="V213" s="234"/>
      <c r="W213" s="41"/>
      <c r="X213" s="41"/>
      <c r="Y213" s="41"/>
      <c r="Z213" s="41"/>
      <c r="AA213" s="234"/>
      <c r="AB213" s="234"/>
      <c r="AC213" s="41"/>
      <c r="AD213" s="41"/>
      <c r="AE213" s="41"/>
      <c r="AF213" s="41"/>
      <c r="AG213" s="41"/>
      <c r="AH213" s="41"/>
      <c r="AI213" s="41"/>
      <c r="AJ213" s="41"/>
    </row>
    <row r="214" spans="1:52" x14ac:dyDescent="0.25">
      <c r="A214" s="40"/>
      <c r="B214" s="41"/>
      <c r="C214" s="41"/>
      <c r="D214" s="41"/>
      <c r="E214" s="41"/>
      <c r="F214" s="41"/>
      <c r="G214" s="41"/>
      <c r="H214" s="25"/>
      <c r="I214" s="226"/>
      <c r="J214" s="227"/>
      <c r="K214" s="41"/>
      <c r="L214" s="233"/>
      <c r="M214" s="233"/>
      <c r="N214" s="41"/>
      <c r="O214" s="41"/>
      <c r="P214" s="228"/>
      <c r="Q214" s="234"/>
      <c r="R214" s="41"/>
      <c r="S214" s="233"/>
      <c r="T214" s="233"/>
      <c r="U214" s="234"/>
      <c r="V214" s="234"/>
      <c r="W214" s="41"/>
      <c r="X214" s="41"/>
      <c r="Y214" s="41"/>
      <c r="Z214" s="41"/>
      <c r="AA214" s="234"/>
      <c r="AB214" s="234"/>
      <c r="AC214" s="41"/>
      <c r="AD214" s="41"/>
      <c r="AE214" s="41"/>
      <c r="AF214" s="41"/>
      <c r="AG214" s="41"/>
      <c r="AH214" s="41"/>
      <c r="AI214" s="41"/>
      <c r="AJ214" s="41"/>
    </row>
    <row r="215" spans="1:52" x14ac:dyDescent="0.25">
      <c r="A215" s="40"/>
      <c r="B215" s="41"/>
      <c r="C215" s="41"/>
      <c r="D215" s="41"/>
      <c r="E215" s="41"/>
      <c r="F215" s="41"/>
      <c r="G215" s="41"/>
      <c r="H215" s="25"/>
      <c r="I215" s="226"/>
      <c r="J215" s="227"/>
      <c r="K215" s="41"/>
      <c r="L215" s="233"/>
      <c r="M215" s="233"/>
      <c r="N215" s="41"/>
      <c r="O215" s="41"/>
      <c r="P215" s="228"/>
      <c r="Q215" s="234"/>
      <c r="R215" s="41"/>
      <c r="S215" s="233"/>
      <c r="T215" s="233"/>
      <c r="U215" s="234"/>
      <c r="V215" s="234"/>
      <c r="W215" s="41"/>
      <c r="X215" s="41"/>
      <c r="Y215" s="41"/>
      <c r="Z215" s="41"/>
      <c r="AA215" s="234"/>
      <c r="AB215" s="234"/>
      <c r="AC215" s="41"/>
      <c r="AD215" s="41"/>
      <c r="AE215" s="41"/>
      <c r="AF215" s="41"/>
      <c r="AG215" s="41"/>
      <c r="AH215" s="41"/>
      <c r="AI215" s="41"/>
      <c r="AJ215" s="41"/>
    </row>
    <row r="216" spans="1:52" x14ac:dyDescent="0.25">
      <c r="K216" s="235"/>
      <c r="L216" s="235"/>
      <c r="M216" s="235"/>
      <c r="N216" s="235"/>
      <c r="O216" s="235"/>
      <c r="P216" s="235"/>
      <c r="Q216" s="236"/>
      <c r="R216" s="236"/>
      <c r="S216" s="236"/>
    </row>
    <row r="217" spans="1:52" x14ac:dyDescent="0.25">
      <c r="K217" s="235"/>
      <c r="L217" s="235"/>
      <c r="M217" s="235"/>
      <c r="N217" s="235"/>
      <c r="O217" s="235"/>
      <c r="P217" s="235"/>
      <c r="Q217" s="236"/>
      <c r="R217" s="236"/>
      <c r="S217" s="236"/>
    </row>
    <row r="218" spans="1:52" x14ac:dyDescent="0.25">
      <c r="K218" s="235"/>
      <c r="L218" s="235"/>
      <c r="M218" s="235"/>
      <c r="N218" s="235"/>
      <c r="O218" s="235"/>
      <c r="P218" s="235"/>
      <c r="Q218" s="236"/>
      <c r="R218" s="236"/>
      <c r="S218" s="236"/>
    </row>
    <row r="219" spans="1:52" x14ac:dyDescent="0.25">
      <c r="K219" s="235"/>
      <c r="L219" s="235"/>
      <c r="M219" s="235"/>
      <c r="N219" s="235"/>
      <c r="O219" s="235"/>
      <c r="P219" s="235"/>
      <c r="Q219" s="236"/>
      <c r="R219" s="236"/>
      <c r="S219" s="236"/>
    </row>
    <row r="220" spans="1:52" x14ac:dyDescent="0.25">
      <c r="K220" s="235"/>
      <c r="L220" s="235"/>
      <c r="M220" s="235"/>
      <c r="N220" s="235"/>
      <c r="O220" s="235"/>
      <c r="P220" s="235"/>
      <c r="Q220" s="236"/>
      <c r="R220" s="236"/>
      <c r="S220" s="236"/>
    </row>
    <row r="221" spans="1:52" x14ac:dyDescent="0.25">
      <c r="K221" s="235"/>
      <c r="L221" s="235"/>
      <c r="M221" s="235"/>
      <c r="N221" s="235"/>
      <c r="O221" s="235"/>
      <c r="P221" s="235"/>
      <c r="Q221" s="236"/>
      <c r="R221" s="236"/>
      <c r="S221" s="236"/>
    </row>
    <row r="222" spans="1:52" x14ac:dyDescent="0.25">
      <c r="K222" s="235"/>
      <c r="L222" s="235"/>
      <c r="M222" s="235"/>
      <c r="N222" s="235"/>
      <c r="O222" s="235"/>
      <c r="P222" s="235"/>
      <c r="Q222" s="236"/>
      <c r="R222" s="236"/>
      <c r="S222" s="236"/>
    </row>
    <row r="223" spans="1:52" x14ac:dyDescent="0.25">
      <c r="K223" s="235"/>
      <c r="L223" s="235"/>
      <c r="M223" s="235"/>
      <c r="N223" s="235"/>
      <c r="O223" s="235"/>
      <c r="P223" s="235"/>
      <c r="Q223" s="236"/>
      <c r="R223" s="236"/>
      <c r="S223" s="236"/>
    </row>
    <row r="224" spans="1:52" x14ac:dyDescent="0.25">
      <c r="K224" s="235"/>
      <c r="L224" s="235"/>
      <c r="M224" s="235"/>
      <c r="N224" s="235"/>
      <c r="O224" s="235"/>
      <c r="P224" s="235"/>
      <c r="Q224" s="236"/>
      <c r="R224" s="236"/>
      <c r="S224" s="236"/>
    </row>
    <row r="225" spans="11:19" x14ac:dyDescent="0.25">
      <c r="K225" s="235"/>
      <c r="L225" s="235"/>
      <c r="M225" s="235"/>
      <c r="N225" s="235"/>
      <c r="O225" s="235"/>
      <c r="P225" s="235"/>
      <c r="Q225" s="236"/>
      <c r="R225" s="236"/>
      <c r="S225" s="236"/>
    </row>
    <row r="226" spans="11:19" x14ac:dyDescent="0.25">
      <c r="K226" s="235"/>
      <c r="L226" s="235"/>
      <c r="M226" s="235"/>
      <c r="N226" s="235"/>
      <c r="O226" s="235"/>
      <c r="P226" s="235"/>
      <c r="Q226" s="236"/>
      <c r="R226" s="236"/>
      <c r="S226" s="236"/>
    </row>
    <row r="227" spans="11:19" x14ac:dyDescent="0.25">
      <c r="K227" s="235"/>
      <c r="L227" s="235"/>
      <c r="M227" s="235"/>
      <c r="N227" s="235"/>
      <c r="O227" s="235"/>
      <c r="P227" s="235"/>
      <c r="Q227" s="236"/>
      <c r="R227" s="236"/>
      <c r="S227" s="236"/>
    </row>
    <row r="228" spans="11:19" x14ac:dyDescent="0.25">
      <c r="K228" s="235"/>
      <c r="L228" s="235"/>
      <c r="M228" s="235"/>
      <c r="N228" s="235"/>
      <c r="O228" s="235"/>
      <c r="P228" s="235"/>
      <c r="Q228" s="236"/>
      <c r="R228" s="236"/>
      <c r="S228" s="236"/>
    </row>
    <row r="229" spans="11:19" x14ac:dyDescent="0.25">
      <c r="K229" s="235"/>
      <c r="L229" s="235"/>
      <c r="M229" s="235"/>
      <c r="N229" s="235"/>
      <c r="O229" s="235"/>
      <c r="P229" s="235"/>
      <c r="Q229" s="236"/>
      <c r="R229" s="236"/>
      <c r="S229" s="236"/>
    </row>
    <row r="230" spans="11:19" x14ac:dyDescent="0.25">
      <c r="K230" s="235"/>
      <c r="L230" s="235"/>
      <c r="M230" s="235"/>
      <c r="N230" s="235"/>
      <c r="O230" s="235"/>
      <c r="P230" s="235"/>
      <c r="Q230" s="236"/>
      <c r="R230" s="236"/>
      <c r="S230" s="236"/>
    </row>
    <row r="231" spans="11:19" x14ac:dyDescent="0.25">
      <c r="K231" s="235"/>
      <c r="L231" s="235"/>
      <c r="M231" s="235"/>
      <c r="N231" s="235"/>
      <c r="O231" s="235"/>
      <c r="P231" s="235"/>
      <c r="Q231" s="236"/>
      <c r="R231" s="236"/>
      <c r="S231" s="236"/>
    </row>
    <row r="232" spans="11:19" x14ac:dyDescent="0.25">
      <c r="K232" s="235"/>
      <c r="L232" s="235"/>
      <c r="M232" s="235"/>
      <c r="N232" s="235"/>
      <c r="O232" s="235"/>
      <c r="P232" s="235"/>
      <c r="Q232" s="236"/>
      <c r="R232" s="236"/>
      <c r="S232" s="236"/>
    </row>
    <row r="233" spans="11:19" x14ac:dyDescent="0.25">
      <c r="K233" s="235"/>
      <c r="L233" s="235"/>
      <c r="M233" s="235"/>
      <c r="N233" s="235"/>
      <c r="O233" s="235"/>
      <c r="P233" s="235"/>
      <c r="Q233" s="236"/>
      <c r="R233" s="236"/>
      <c r="S233" s="236"/>
    </row>
    <row r="234" spans="11:19" x14ac:dyDescent="0.25">
      <c r="K234" s="235"/>
      <c r="L234" s="235"/>
      <c r="M234" s="235"/>
      <c r="N234" s="235"/>
      <c r="O234" s="235"/>
      <c r="P234" s="235"/>
      <c r="Q234" s="236"/>
      <c r="R234" s="236"/>
      <c r="S234" s="236"/>
    </row>
    <row r="235" spans="11:19" x14ac:dyDescent="0.25">
      <c r="K235" s="235"/>
      <c r="L235" s="235"/>
      <c r="M235" s="235"/>
      <c r="N235" s="235"/>
      <c r="O235" s="235"/>
      <c r="P235" s="235"/>
      <c r="Q235" s="236"/>
      <c r="R235" s="236"/>
      <c r="S235" s="236"/>
    </row>
    <row r="236" spans="11:19" x14ac:dyDescent="0.25">
      <c r="K236" s="235"/>
      <c r="L236" s="235"/>
      <c r="M236" s="235"/>
      <c r="N236" s="235"/>
      <c r="O236" s="235"/>
      <c r="P236" s="235"/>
      <c r="Q236" s="236"/>
      <c r="R236" s="236"/>
      <c r="S236" s="236"/>
    </row>
    <row r="237" spans="11:19" x14ac:dyDescent="0.25">
      <c r="K237" s="235"/>
      <c r="L237" s="235"/>
      <c r="M237" s="235"/>
      <c r="N237" s="235"/>
      <c r="O237" s="235"/>
      <c r="P237" s="235"/>
      <c r="Q237" s="236"/>
      <c r="R237" s="236"/>
      <c r="S237" s="236"/>
    </row>
    <row r="238" spans="11:19" x14ac:dyDescent="0.25">
      <c r="K238" s="235"/>
      <c r="L238" s="235"/>
      <c r="M238" s="235"/>
      <c r="N238" s="235"/>
      <c r="O238" s="235"/>
      <c r="P238" s="235"/>
      <c r="Q238" s="236"/>
      <c r="R238" s="236"/>
      <c r="S238" s="236"/>
    </row>
    <row r="239" spans="11:19" x14ac:dyDescent="0.25">
      <c r="K239" s="235"/>
      <c r="L239" s="235"/>
      <c r="M239" s="235"/>
      <c r="N239" s="235"/>
      <c r="O239" s="235"/>
      <c r="P239" s="235"/>
      <c r="Q239" s="236"/>
      <c r="R239" s="236"/>
      <c r="S239" s="236"/>
    </row>
    <row r="240" spans="11:19" x14ac:dyDescent="0.25">
      <c r="K240" s="235"/>
      <c r="L240" s="235"/>
      <c r="M240" s="235"/>
      <c r="N240" s="235"/>
      <c r="O240" s="235"/>
      <c r="P240" s="235"/>
      <c r="Q240" s="236"/>
      <c r="R240" s="236"/>
      <c r="S240" s="236"/>
    </row>
    <row r="241" spans="11:19" x14ac:dyDescent="0.25">
      <c r="K241" s="235"/>
      <c r="L241" s="235"/>
      <c r="M241" s="235"/>
      <c r="N241" s="235"/>
      <c r="O241" s="235"/>
      <c r="P241" s="235"/>
      <c r="Q241" s="236"/>
      <c r="R241" s="236"/>
      <c r="S241" s="236"/>
    </row>
    <row r="242" spans="11:19" x14ac:dyDescent="0.25">
      <c r="K242" s="235"/>
      <c r="L242" s="235"/>
      <c r="M242" s="235"/>
      <c r="N242" s="235"/>
      <c r="O242" s="235"/>
      <c r="P242" s="235"/>
      <c r="Q242" s="236"/>
      <c r="R242" s="236"/>
      <c r="S242" s="236"/>
    </row>
    <row r="243" spans="11:19" x14ac:dyDescent="0.25">
      <c r="K243" s="235"/>
      <c r="L243" s="235"/>
      <c r="M243" s="235"/>
      <c r="N243" s="235"/>
      <c r="O243" s="235"/>
      <c r="P243" s="235"/>
      <c r="Q243" s="236"/>
      <c r="R243" s="236"/>
      <c r="S243" s="236"/>
    </row>
    <row r="244" spans="11:19" x14ac:dyDescent="0.25">
      <c r="K244" s="235"/>
      <c r="L244" s="235"/>
      <c r="M244" s="235"/>
      <c r="N244" s="235"/>
      <c r="O244" s="235"/>
      <c r="P244" s="235"/>
      <c r="Q244" s="236"/>
      <c r="R244" s="236"/>
      <c r="S244" s="236"/>
    </row>
    <row r="245" spans="11:19" x14ac:dyDescent="0.25">
      <c r="K245" s="235"/>
      <c r="L245" s="235"/>
      <c r="M245" s="235"/>
      <c r="N245" s="235"/>
      <c r="O245" s="235"/>
      <c r="P245" s="235"/>
      <c r="Q245" s="236"/>
      <c r="R245" s="236"/>
      <c r="S245" s="236"/>
    </row>
    <row r="246" spans="11:19" x14ac:dyDescent="0.25">
      <c r="K246" s="235"/>
      <c r="L246" s="235"/>
      <c r="M246" s="235"/>
      <c r="N246" s="235"/>
      <c r="O246" s="235"/>
      <c r="P246" s="235"/>
      <c r="Q246" s="236"/>
      <c r="R246" s="236"/>
      <c r="S246" s="236"/>
    </row>
    <row r="247" spans="11:19" x14ac:dyDescent="0.25">
      <c r="K247" s="235"/>
      <c r="L247" s="235"/>
      <c r="M247" s="235"/>
      <c r="N247" s="235"/>
      <c r="O247" s="235"/>
      <c r="P247" s="235"/>
      <c r="Q247" s="236"/>
      <c r="R247" s="236"/>
      <c r="S247" s="236"/>
    </row>
    <row r="248" spans="11:19" x14ac:dyDescent="0.25">
      <c r="K248" s="235"/>
      <c r="L248" s="235"/>
      <c r="M248" s="235"/>
      <c r="N248" s="235"/>
      <c r="O248" s="235"/>
      <c r="P248" s="235"/>
      <c r="Q248" s="236"/>
      <c r="R248" s="236"/>
      <c r="S248" s="236"/>
    </row>
    <row r="249" spans="11:19" x14ac:dyDescent="0.25">
      <c r="K249" s="235"/>
      <c r="L249" s="235"/>
      <c r="M249" s="235"/>
      <c r="N249" s="235"/>
      <c r="O249" s="235"/>
      <c r="P249" s="235"/>
      <c r="Q249" s="236"/>
      <c r="R249" s="236"/>
      <c r="S249" s="236"/>
    </row>
    <row r="250" spans="11:19" x14ac:dyDescent="0.25">
      <c r="K250" s="235"/>
      <c r="L250" s="235"/>
      <c r="M250" s="235"/>
      <c r="N250" s="235"/>
      <c r="O250" s="235"/>
      <c r="P250" s="235"/>
      <c r="Q250" s="236"/>
      <c r="R250" s="236"/>
      <c r="S250" s="236"/>
    </row>
    <row r="251" spans="11:19" x14ac:dyDescent="0.25">
      <c r="K251" s="235"/>
      <c r="L251" s="235"/>
      <c r="M251" s="235"/>
      <c r="N251" s="235"/>
      <c r="O251" s="235"/>
      <c r="P251" s="235"/>
      <c r="Q251" s="236"/>
      <c r="R251" s="236"/>
      <c r="S251" s="236"/>
    </row>
    <row r="252" spans="11:19" x14ac:dyDescent="0.25">
      <c r="K252" s="235"/>
      <c r="L252" s="235"/>
      <c r="M252" s="235"/>
      <c r="N252" s="235"/>
      <c r="O252" s="235"/>
      <c r="P252" s="235"/>
      <c r="Q252" s="236"/>
      <c r="R252" s="236"/>
      <c r="S252" s="236"/>
    </row>
    <row r="253" spans="11:19" x14ac:dyDescent="0.25">
      <c r="K253" s="235"/>
      <c r="L253" s="235"/>
      <c r="M253" s="235"/>
      <c r="N253" s="235"/>
      <c r="O253" s="235"/>
      <c r="P253" s="235"/>
      <c r="Q253" s="236"/>
      <c r="R253" s="236"/>
      <c r="S253" s="236"/>
    </row>
    <row r="254" spans="11:19" x14ac:dyDescent="0.25">
      <c r="K254" s="235"/>
      <c r="L254" s="235"/>
      <c r="M254" s="235"/>
      <c r="N254" s="235"/>
      <c r="O254" s="235"/>
      <c r="P254" s="235"/>
      <c r="Q254" s="236"/>
      <c r="R254" s="236"/>
      <c r="S254" s="236"/>
    </row>
    <row r="255" spans="11:19" x14ac:dyDescent="0.25">
      <c r="K255" s="235"/>
      <c r="L255" s="235"/>
      <c r="M255" s="235"/>
      <c r="N255" s="235"/>
      <c r="O255" s="235"/>
      <c r="P255" s="235"/>
      <c r="Q255" s="236"/>
      <c r="R255" s="236"/>
      <c r="S255" s="236"/>
    </row>
    <row r="256" spans="11:19" x14ac:dyDescent="0.25">
      <c r="K256" s="235"/>
      <c r="L256" s="235"/>
      <c r="M256" s="235"/>
      <c r="N256" s="235"/>
      <c r="O256" s="235"/>
      <c r="P256" s="235"/>
      <c r="Q256" s="236"/>
      <c r="R256" s="236"/>
      <c r="S256" s="236"/>
    </row>
    <row r="257" spans="11:19" x14ac:dyDescent="0.25">
      <c r="K257" s="235"/>
      <c r="L257" s="235"/>
      <c r="M257" s="235"/>
      <c r="N257" s="235"/>
      <c r="O257" s="235"/>
      <c r="P257" s="235"/>
      <c r="Q257" s="236"/>
      <c r="R257" s="236"/>
      <c r="S257" s="236"/>
    </row>
    <row r="258" spans="11:19" x14ac:dyDescent="0.25">
      <c r="K258" s="235"/>
      <c r="L258" s="235"/>
      <c r="M258" s="235"/>
      <c r="N258" s="235"/>
      <c r="O258" s="235"/>
      <c r="P258" s="235"/>
      <c r="Q258" s="236"/>
      <c r="R258" s="236"/>
      <c r="S258" s="236"/>
    </row>
    <row r="259" spans="11:19" x14ac:dyDescent="0.25">
      <c r="K259" s="235"/>
      <c r="L259" s="235"/>
      <c r="M259" s="235"/>
      <c r="N259" s="235"/>
      <c r="O259" s="235"/>
      <c r="P259" s="235"/>
      <c r="Q259" s="236"/>
      <c r="R259" s="236"/>
      <c r="S259" s="236"/>
    </row>
    <row r="260" spans="11:19" x14ac:dyDescent="0.25">
      <c r="K260" s="235"/>
      <c r="L260" s="235"/>
      <c r="M260" s="235"/>
      <c r="N260" s="235"/>
      <c r="O260" s="235"/>
      <c r="P260" s="235"/>
      <c r="Q260" s="236"/>
      <c r="R260" s="236"/>
      <c r="S260" s="236"/>
    </row>
    <row r="261" spans="11:19" x14ac:dyDescent="0.25">
      <c r="K261" s="235"/>
      <c r="L261" s="235"/>
      <c r="M261" s="235"/>
      <c r="N261" s="235"/>
      <c r="O261" s="235"/>
      <c r="P261" s="235"/>
      <c r="Q261" s="236"/>
      <c r="R261" s="236"/>
      <c r="S261" s="236"/>
    </row>
    <row r="262" spans="11:19" x14ac:dyDescent="0.25">
      <c r="K262" s="235"/>
      <c r="L262" s="235"/>
      <c r="M262" s="235"/>
      <c r="N262" s="235"/>
      <c r="O262" s="235"/>
      <c r="P262" s="235"/>
      <c r="Q262" s="236"/>
      <c r="R262" s="236"/>
      <c r="S262" s="236"/>
    </row>
    <row r="263" spans="11:19" x14ac:dyDescent="0.25">
      <c r="K263" s="235"/>
      <c r="L263" s="235"/>
      <c r="M263" s="235"/>
      <c r="N263" s="235"/>
      <c r="O263" s="235"/>
      <c r="P263" s="235"/>
      <c r="Q263" s="236"/>
      <c r="R263" s="236"/>
      <c r="S263" s="236"/>
    </row>
    <row r="264" spans="11:19" x14ac:dyDescent="0.25">
      <c r="K264" s="235"/>
      <c r="L264" s="235"/>
      <c r="M264" s="235"/>
      <c r="N264" s="235"/>
      <c r="O264" s="235"/>
      <c r="P264" s="235"/>
      <c r="Q264" s="236"/>
      <c r="R264" s="236"/>
      <c r="S264" s="236"/>
    </row>
    <row r="265" spans="11:19" x14ac:dyDescent="0.25">
      <c r="K265" s="235"/>
      <c r="L265" s="235"/>
      <c r="M265" s="235"/>
      <c r="N265" s="235"/>
      <c r="O265" s="235"/>
      <c r="P265" s="235"/>
      <c r="Q265" s="236"/>
      <c r="R265" s="236"/>
      <c r="S265" s="236"/>
    </row>
    <row r="266" spans="11:19" x14ac:dyDescent="0.25">
      <c r="K266" s="235"/>
      <c r="L266" s="235"/>
      <c r="M266" s="235"/>
      <c r="N266" s="235"/>
      <c r="O266" s="235"/>
      <c r="P266" s="235"/>
      <c r="Q266" s="236"/>
      <c r="R266" s="236"/>
      <c r="S266" s="236"/>
    </row>
    <row r="267" spans="11:19" x14ac:dyDescent="0.25">
      <c r="K267" s="235"/>
      <c r="L267" s="235"/>
      <c r="M267" s="235"/>
      <c r="N267" s="235"/>
      <c r="O267" s="235"/>
      <c r="P267" s="235"/>
      <c r="Q267" s="236"/>
      <c r="R267" s="236"/>
      <c r="S267" s="236"/>
    </row>
    <row r="268" spans="11:19" x14ac:dyDescent="0.25">
      <c r="K268" s="235"/>
      <c r="L268" s="235"/>
      <c r="M268" s="235"/>
      <c r="N268" s="235"/>
      <c r="O268" s="235"/>
      <c r="P268" s="235"/>
      <c r="Q268" s="236"/>
      <c r="R268" s="236"/>
      <c r="S268" s="236"/>
    </row>
    <row r="269" spans="11:19" x14ac:dyDescent="0.25">
      <c r="K269" s="235"/>
      <c r="L269" s="235"/>
      <c r="M269" s="235"/>
      <c r="N269" s="235"/>
      <c r="O269" s="235"/>
      <c r="P269" s="235"/>
      <c r="Q269" s="236"/>
      <c r="R269" s="236"/>
      <c r="S269" s="236"/>
    </row>
    <row r="270" spans="11:19" x14ac:dyDescent="0.25">
      <c r="K270" s="235"/>
      <c r="L270" s="235"/>
      <c r="M270" s="235"/>
      <c r="N270" s="235"/>
      <c r="O270" s="235"/>
      <c r="P270" s="235"/>
      <c r="Q270" s="236"/>
      <c r="R270" s="236"/>
      <c r="S270" s="236"/>
    </row>
    <row r="271" spans="11:19" x14ac:dyDescent="0.25">
      <c r="K271" s="235"/>
      <c r="L271" s="235"/>
      <c r="M271" s="235"/>
      <c r="N271" s="235"/>
      <c r="O271" s="235"/>
      <c r="P271" s="235"/>
      <c r="Q271" s="236"/>
      <c r="R271" s="236"/>
      <c r="S271" s="236"/>
    </row>
    <row r="272" spans="11:19" x14ac:dyDescent="0.25">
      <c r="K272" s="235"/>
      <c r="L272" s="235"/>
      <c r="M272" s="235"/>
      <c r="N272" s="235"/>
      <c r="O272" s="235"/>
      <c r="P272" s="235"/>
      <c r="Q272" s="236"/>
      <c r="R272" s="236"/>
      <c r="S272" s="236"/>
    </row>
    <row r="273" spans="11:19" x14ac:dyDescent="0.25">
      <c r="K273" s="235"/>
      <c r="L273" s="235"/>
      <c r="M273" s="235"/>
      <c r="N273" s="235"/>
      <c r="O273" s="235"/>
      <c r="P273" s="235"/>
      <c r="Q273" s="236"/>
      <c r="R273" s="236"/>
      <c r="S273" s="236"/>
    </row>
    <row r="274" spans="11:19" x14ac:dyDescent="0.25">
      <c r="K274" s="235"/>
      <c r="L274" s="235"/>
      <c r="M274" s="235"/>
      <c r="N274" s="235"/>
      <c r="O274" s="235"/>
      <c r="P274" s="235"/>
      <c r="Q274" s="236"/>
      <c r="R274" s="236"/>
      <c r="S274" s="236"/>
    </row>
    <row r="275" spans="11:19" x14ac:dyDescent="0.25">
      <c r="K275" s="235"/>
      <c r="L275" s="235"/>
      <c r="M275" s="235"/>
      <c r="N275" s="235"/>
      <c r="O275" s="235"/>
      <c r="P275" s="235"/>
      <c r="Q275" s="236"/>
      <c r="R275" s="236"/>
      <c r="S275" s="236"/>
    </row>
    <row r="276" spans="11:19" x14ac:dyDescent="0.25">
      <c r="K276" s="235"/>
      <c r="L276" s="235"/>
      <c r="M276" s="235"/>
      <c r="N276" s="235"/>
      <c r="O276" s="235"/>
      <c r="P276" s="235"/>
      <c r="Q276" s="236"/>
      <c r="R276" s="236"/>
      <c r="S276" s="236"/>
    </row>
    <row r="277" spans="11:19" x14ac:dyDescent="0.25">
      <c r="K277" s="235"/>
      <c r="L277" s="235"/>
      <c r="M277" s="235"/>
      <c r="N277" s="235"/>
      <c r="O277" s="235"/>
      <c r="P277" s="235"/>
      <c r="Q277" s="236"/>
      <c r="R277" s="236"/>
      <c r="S277" s="236"/>
    </row>
    <row r="278" spans="11:19" x14ac:dyDescent="0.25">
      <c r="K278" s="235"/>
      <c r="L278" s="235"/>
      <c r="M278" s="235"/>
      <c r="N278" s="235"/>
      <c r="O278" s="235"/>
      <c r="P278" s="235"/>
      <c r="Q278" s="236"/>
      <c r="R278" s="236"/>
      <c r="S278" s="236"/>
    </row>
    <row r="279" spans="11:19" x14ac:dyDescent="0.25">
      <c r="K279" s="235"/>
      <c r="L279" s="235"/>
      <c r="M279" s="235"/>
      <c r="N279" s="235"/>
      <c r="O279" s="235"/>
      <c r="P279" s="235"/>
      <c r="Q279" s="236"/>
      <c r="R279" s="236"/>
      <c r="S279" s="236"/>
    </row>
    <row r="280" spans="11:19" x14ac:dyDescent="0.25">
      <c r="K280" s="235"/>
      <c r="L280" s="235"/>
      <c r="M280" s="235"/>
      <c r="N280" s="235"/>
      <c r="O280" s="235"/>
      <c r="P280" s="235"/>
      <c r="Q280" s="236"/>
      <c r="R280" s="236"/>
      <c r="S280" s="236"/>
    </row>
    <row r="281" spans="11:19" x14ac:dyDescent="0.25">
      <c r="K281" s="235"/>
      <c r="L281" s="235"/>
      <c r="M281" s="235"/>
      <c r="N281" s="235"/>
      <c r="O281" s="235"/>
      <c r="P281" s="235"/>
      <c r="Q281" s="236"/>
      <c r="R281" s="236"/>
      <c r="S281" s="236"/>
    </row>
    <row r="282" spans="11:19" x14ac:dyDescent="0.25">
      <c r="K282" s="235"/>
      <c r="L282" s="235"/>
      <c r="M282" s="235"/>
      <c r="N282" s="235"/>
      <c r="O282" s="235"/>
      <c r="P282" s="235"/>
      <c r="Q282" s="236"/>
      <c r="R282" s="236"/>
      <c r="S282" s="236"/>
    </row>
    <row r="283" spans="11:19" x14ac:dyDescent="0.25">
      <c r="K283" s="235"/>
      <c r="L283" s="235"/>
      <c r="M283" s="235"/>
      <c r="N283" s="235"/>
      <c r="O283" s="235"/>
      <c r="P283" s="235"/>
      <c r="Q283" s="236"/>
      <c r="R283" s="236"/>
      <c r="S283" s="236"/>
    </row>
    <row r="284" spans="11:19" x14ac:dyDescent="0.25">
      <c r="K284" s="235"/>
      <c r="L284" s="235"/>
      <c r="M284" s="235"/>
      <c r="N284" s="235"/>
      <c r="O284" s="235"/>
      <c r="P284" s="235"/>
      <c r="Q284" s="236"/>
      <c r="R284" s="236"/>
      <c r="S284" s="236"/>
    </row>
    <row r="285" spans="11:19" x14ac:dyDescent="0.25">
      <c r="K285" s="235"/>
      <c r="L285" s="235"/>
      <c r="M285" s="235"/>
      <c r="N285" s="235"/>
      <c r="O285" s="235"/>
      <c r="P285" s="235"/>
      <c r="Q285" s="236"/>
      <c r="R285" s="236"/>
      <c r="S285" s="236"/>
    </row>
    <row r="286" spans="11:19" x14ac:dyDescent="0.25">
      <c r="K286" s="235"/>
      <c r="L286" s="235"/>
      <c r="M286" s="235"/>
      <c r="N286" s="235"/>
      <c r="O286" s="235"/>
      <c r="P286" s="235"/>
      <c r="Q286" s="236"/>
      <c r="R286" s="236"/>
      <c r="S286" s="236"/>
    </row>
    <row r="287" spans="11:19" x14ac:dyDescent="0.25">
      <c r="K287" s="235"/>
      <c r="L287" s="235"/>
      <c r="M287" s="235"/>
      <c r="N287" s="235"/>
      <c r="O287" s="235"/>
      <c r="P287" s="235"/>
      <c r="Q287" s="236"/>
      <c r="R287" s="236"/>
      <c r="S287" s="236"/>
    </row>
    <row r="288" spans="11:19" x14ac:dyDescent="0.25">
      <c r="K288" s="235"/>
      <c r="L288" s="235"/>
      <c r="M288" s="235"/>
      <c r="N288" s="235"/>
      <c r="O288" s="235"/>
      <c r="P288" s="235"/>
      <c r="Q288" s="236"/>
      <c r="R288" s="236"/>
      <c r="S288" s="236"/>
    </row>
    <row r="289" spans="11:19" x14ac:dyDescent="0.25">
      <c r="K289" s="235"/>
      <c r="L289" s="235"/>
      <c r="M289" s="235"/>
      <c r="N289" s="235"/>
      <c r="O289" s="235"/>
      <c r="P289" s="235"/>
      <c r="Q289" s="236"/>
      <c r="R289" s="236"/>
      <c r="S289" s="236"/>
    </row>
    <row r="290" spans="11:19" x14ac:dyDescent="0.25">
      <c r="K290" s="235"/>
      <c r="L290" s="235"/>
      <c r="M290" s="235"/>
      <c r="N290" s="235"/>
      <c r="O290" s="235"/>
      <c r="P290" s="235"/>
      <c r="Q290" s="236"/>
      <c r="R290" s="236"/>
      <c r="S290" s="236"/>
    </row>
    <row r="291" spans="11:19" x14ac:dyDescent="0.25">
      <c r="K291" s="235"/>
      <c r="L291" s="235"/>
      <c r="M291" s="235"/>
      <c r="N291" s="235"/>
      <c r="O291" s="235"/>
      <c r="P291" s="235"/>
      <c r="Q291" s="236"/>
      <c r="R291" s="236"/>
      <c r="S291" s="236"/>
    </row>
    <row r="292" spans="11:19" x14ac:dyDescent="0.25">
      <c r="K292" s="235"/>
      <c r="L292" s="235"/>
      <c r="M292" s="235"/>
      <c r="N292" s="235"/>
      <c r="O292" s="235"/>
      <c r="P292" s="235"/>
      <c r="Q292" s="236"/>
      <c r="R292" s="236"/>
      <c r="S292" s="236"/>
    </row>
    <row r="293" spans="11:19" x14ac:dyDescent="0.25">
      <c r="K293" s="235"/>
      <c r="L293" s="235"/>
      <c r="M293" s="235"/>
      <c r="N293" s="235"/>
      <c r="O293" s="235"/>
      <c r="P293" s="235"/>
      <c r="Q293" s="236"/>
      <c r="R293" s="236"/>
      <c r="S293" s="236"/>
    </row>
    <row r="294" spans="11:19" x14ac:dyDescent="0.25">
      <c r="K294" s="235"/>
      <c r="L294" s="235"/>
      <c r="M294" s="235"/>
      <c r="N294" s="235"/>
      <c r="O294" s="235"/>
      <c r="P294" s="235"/>
      <c r="Q294" s="236"/>
      <c r="R294" s="236"/>
      <c r="S294" s="236"/>
    </row>
    <row r="295" spans="11:19" x14ac:dyDescent="0.25">
      <c r="K295" s="235"/>
      <c r="L295" s="235"/>
      <c r="M295" s="235"/>
      <c r="N295" s="235"/>
      <c r="O295" s="235"/>
      <c r="P295" s="235"/>
      <c r="Q295" s="236"/>
      <c r="R295" s="236"/>
      <c r="S295" s="236"/>
    </row>
    <row r="296" spans="11:19" x14ac:dyDescent="0.25">
      <c r="K296" s="235"/>
      <c r="L296" s="235"/>
      <c r="M296" s="235"/>
      <c r="N296" s="235"/>
      <c r="O296" s="235"/>
      <c r="P296" s="235"/>
      <c r="Q296" s="236"/>
      <c r="R296" s="236"/>
      <c r="S296" s="236"/>
    </row>
    <row r="297" spans="11:19" x14ac:dyDescent="0.25">
      <c r="K297" s="235"/>
      <c r="L297" s="235"/>
      <c r="M297" s="235"/>
      <c r="N297" s="235"/>
      <c r="O297" s="235"/>
      <c r="P297" s="235"/>
      <c r="Q297" s="236"/>
      <c r="R297" s="236"/>
      <c r="S297" s="236"/>
    </row>
    <row r="298" spans="11:19" x14ac:dyDescent="0.25">
      <c r="K298" s="235"/>
      <c r="L298" s="235"/>
      <c r="M298" s="235"/>
      <c r="N298" s="235"/>
      <c r="O298" s="235"/>
      <c r="P298" s="235"/>
      <c r="Q298" s="236"/>
      <c r="R298" s="236"/>
      <c r="S298" s="236"/>
    </row>
    <row r="299" spans="11:19" x14ac:dyDescent="0.25">
      <c r="K299" s="235"/>
      <c r="L299" s="235"/>
      <c r="M299" s="235"/>
      <c r="N299" s="235"/>
      <c r="O299" s="235"/>
      <c r="P299" s="235"/>
      <c r="Q299" s="236"/>
      <c r="R299" s="236"/>
      <c r="S299" s="236"/>
    </row>
    <row r="300" spans="11:19" x14ac:dyDescent="0.25">
      <c r="K300" s="235"/>
      <c r="L300" s="235"/>
      <c r="M300" s="235"/>
      <c r="N300" s="235"/>
      <c r="O300" s="235"/>
      <c r="P300" s="235"/>
      <c r="Q300" s="236"/>
      <c r="R300" s="236"/>
      <c r="S300" s="236"/>
    </row>
    <row r="301" spans="11:19" x14ac:dyDescent="0.25">
      <c r="K301" s="235"/>
      <c r="L301" s="235"/>
      <c r="M301" s="235"/>
      <c r="N301" s="235"/>
      <c r="O301" s="235"/>
      <c r="P301" s="235"/>
      <c r="Q301" s="236"/>
      <c r="R301" s="236"/>
      <c r="S301" s="236"/>
    </row>
    <row r="302" spans="11:19" x14ac:dyDescent="0.25">
      <c r="K302" s="235"/>
      <c r="L302" s="235"/>
      <c r="M302" s="235"/>
      <c r="N302" s="235"/>
      <c r="O302" s="235"/>
      <c r="P302" s="235"/>
      <c r="Q302" s="236"/>
      <c r="R302" s="236"/>
      <c r="S302" s="236"/>
    </row>
    <row r="303" spans="11:19" x14ac:dyDescent="0.25">
      <c r="K303" s="235"/>
      <c r="L303" s="235"/>
      <c r="M303" s="235"/>
      <c r="N303" s="235"/>
      <c r="O303" s="235"/>
      <c r="P303" s="235"/>
      <c r="Q303" s="236"/>
      <c r="R303" s="236"/>
      <c r="S303" s="236"/>
    </row>
    <row r="304" spans="11:19" x14ac:dyDescent="0.25">
      <c r="K304" s="235"/>
      <c r="L304" s="235"/>
      <c r="M304" s="235"/>
      <c r="N304" s="235"/>
      <c r="O304" s="235"/>
      <c r="P304" s="235"/>
      <c r="Q304" s="236"/>
      <c r="R304" s="236"/>
      <c r="S304" s="236"/>
    </row>
    <row r="305" spans="11:19" x14ac:dyDescent="0.25">
      <c r="K305" s="235"/>
      <c r="L305" s="235"/>
      <c r="M305" s="235"/>
      <c r="N305" s="235"/>
      <c r="O305" s="235"/>
      <c r="P305" s="235"/>
      <c r="Q305" s="236"/>
      <c r="R305" s="236"/>
      <c r="S305" s="236"/>
    </row>
    <row r="306" spans="11:19" x14ac:dyDescent="0.25">
      <c r="K306" s="235"/>
      <c r="L306" s="235"/>
      <c r="M306" s="235"/>
      <c r="N306" s="235"/>
      <c r="O306" s="235"/>
      <c r="P306" s="235"/>
      <c r="Q306" s="236"/>
      <c r="R306" s="236"/>
      <c r="S306" s="236"/>
    </row>
    <row r="307" spans="11:19" x14ac:dyDescent="0.25">
      <c r="K307" s="235"/>
      <c r="L307" s="235"/>
      <c r="M307" s="235"/>
      <c r="N307" s="235"/>
      <c r="O307" s="235"/>
      <c r="P307" s="235"/>
      <c r="Q307" s="236"/>
      <c r="R307" s="236"/>
      <c r="S307" s="236"/>
    </row>
    <row r="308" spans="11:19" x14ac:dyDescent="0.25">
      <c r="K308" s="235"/>
      <c r="L308" s="235"/>
      <c r="M308" s="235"/>
      <c r="N308" s="235"/>
      <c r="O308" s="235"/>
      <c r="P308" s="235"/>
      <c r="Q308" s="236"/>
      <c r="R308" s="236"/>
      <c r="S308" s="236"/>
    </row>
    <row r="309" spans="11:19" x14ac:dyDescent="0.25">
      <c r="K309" s="235"/>
      <c r="L309" s="235"/>
      <c r="M309" s="235"/>
      <c r="N309" s="235"/>
      <c r="O309" s="235"/>
      <c r="P309" s="235"/>
      <c r="Q309" s="236"/>
      <c r="R309" s="236"/>
      <c r="S309" s="236"/>
    </row>
    <row r="310" spans="11:19" x14ac:dyDescent="0.25">
      <c r="K310" s="235"/>
      <c r="L310" s="235"/>
      <c r="M310" s="235"/>
      <c r="N310" s="235"/>
      <c r="O310" s="235"/>
      <c r="P310" s="235"/>
      <c r="Q310" s="236"/>
      <c r="R310" s="236"/>
      <c r="S310" s="236"/>
    </row>
    <row r="311" spans="11:19" x14ac:dyDescent="0.25">
      <c r="K311" s="235"/>
      <c r="L311" s="235"/>
      <c r="M311" s="235"/>
      <c r="N311" s="235"/>
      <c r="O311" s="235"/>
      <c r="P311" s="235"/>
      <c r="Q311" s="236"/>
      <c r="R311" s="236"/>
      <c r="S311" s="236"/>
    </row>
    <row r="312" spans="11:19" x14ac:dyDescent="0.25">
      <c r="K312" s="235"/>
      <c r="L312" s="235"/>
      <c r="M312" s="235"/>
      <c r="N312" s="235"/>
      <c r="O312" s="235"/>
      <c r="P312" s="235"/>
      <c r="Q312" s="236"/>
      <c r="R312" s="236"/>
      <c r="S312" s="236"/>
    </row>
    <row r="313" spans="11:19" x14ac:dyDescent="0.25">
      <c r="K313" s="235"/>
      <c r="L313" s="235"/>
      <c r="M313" s="235"/>
      <c r="N313" s="235"/>
      <c r="O313" s="235"/>
      <c r="P313" s="235"/>
      <c r="Q313" s="236"/>
      <c r="R313" s="236"/>
      <c r="S313" s="236"/>
    </row>
    <row r="314" spans="11:19" x14ac:dyDescent="0.25">
      <c r="K314" s="235"/>
      <c r="L314" s="235"/>
      <c r="M314" s="235"/>
      <c r="N314" s="235"/>
      <c r="O314" s="235"/>
      <c r="P314" s="235"/>
      <c r="Q314" s="236"/>
      <c r="R314" s="236"/>
      <c r="S314" s="236"/>
    </row>
    <row r="315" spans="11:19" x14ac:dyDescent="0.25">
      <c r="K315" s="235"/>
      <c r="L315" s="235"/>
      <c r="M315" s="235"/>
      <c r="N315" s="235"/>
      <c r="O315" s="235"/>
      <c r="P315" s="235"/>
      <c r="Q315" s="236"/>
      <c r="R315" s="236"/>
      <c r="S315" s="236"/>
    </row>
    <row r="316" spans="11:19" x14ac:dyDescent="0.25">
      <c r="K316" s="235"/>
      <c r="L316" s="235"/>
      <c r="M316" s="235"/>
      <c r="N316" s="235"/>
      <c r="O316" s="235"/>
      <c r="P316" s="235"/>
      <c r="Q316" s="236"/>
      <c r="R316" s="236"/>
      <c r="S316" s="236"/>
    </row>
    <row r="317" spans="11:19" x14ac:dyDescent="0.25">
      <c r="K317" s="235"/>
      <c r="L317" s="235"/>
      <c r="M317" s="235"/>
      <c r="N317" s="235"/>
      <c r="O317" s="235"/>
      <c r="P317" s="235"/>
      <c r="Q317" s="236"/>
      <c r="R317" s="236"/>
      <c r="S317" s="236"/>
    </row>
    <row r="318" spans="11:19" x14ac:dyDescent="0.25">
      <c r="K318" s="235"/>
      <c r="L318" s="235"/>
      <c r="M318" s="235"/>
      <c r="N318" s="235"/>
      <c r="O318" s="235"/>
      <c r="P318" s="235"/>
      <c r="Q318" s="236"/>
      <c r="R318" s="236"/>
      <c r="S318" s="236"/>
    </row>
    <row r="319" spans="11:19" x14ac:dyDescent="0.25">
      <c r="K319" s="235"/>
      <c r="L319" s="235"/>
      <c r="M319" s="235"/>
      <c r="N319" s="235"/>
      <c r="O319" s="235"/>
      <c r="P319" s="235"/>
      <c r="Q319" s="236"/>
      <c r="R319" s="236"/>
      <c r="S319" s="236"/>
    </row>
    <row r="320" spans="11:19" x14ac:dyDescent="0.25">
      <c r="K320" s="235"/>
      <c r="L320" s="235"/>
      <c r="M320" s="235"/>
      <c r="N320" s="235"/>
      <c r="O320" s="235"/>
      <c r="P320" s="235"/>
      <c r="Q320" s="236"/>
      <c r="R320" s="236"/>
      <c r="S320" s="236"/>
    </row>
    <row r="321" spans="11:19" x14ac:dyDescent="0.25">
      <c r="K321" s="235"/>
      <c r="L321" s="235"/>
      <c r="M321" s="235"/>
      <c r="N321" s="235"/>
      <c r="O321" s="235"/>
      <c r="P321" s="235"/>
      <c r="Q321" s="236"/>
      <c r="R321" s="236"/>
      <c r="S321" s="236"/>
    </row>
    <row r="322" spans="11:19" x14ac:dyDescent="0.25">
      <c r="K322" s="235"/>
      <c r="L322" s="235"/>
      <c r="M322" s="235"/>
      <c r="N322" s="235"/>
      <c r="O322" s="235"/>
      <c r="P322" s="235"/>
      <c r="Q322" s="236"/>
      <c r="R322" s="236"/>
      <c r="S322" s="236"/>
    </row>
    <row r="323" spans="11:19" x14ac:dyDescent="0.25">
      <c r="K323" s="235"/>
      <c r="L323" s="235"/>
      <c r="M323" s="235"/>
      <c r="N323" s="235"/>
      <c r="O323" s="235"/>
      <c r="P323" s="235"/>
      <c r="Q323" s="236"/>
      <c r="R323" s="236"/>
      <c r="S323" s="236"/>
    </row>
    <row r="324" spans="11:19" x14ac:dyDescent="0.25">
      <c r="K324" s="235"/>
      <c r="L324" s="235"/>
      <c r="M324" s="235"/>
      <c r="N324" s="235"/>
      <c r="O324" s="235"/>
      <c r="P324" s="235"/>
      <c r="Q324" s="236"/>
      <c r="R324" s="236"/>
      <c r="S324" s="236"/>
    </row>
    <row r="325" spans="11:19" x14ac:dyDescent="0.25">
      <c r="K325" s="235"/>
      <c r="L325" s="235"/>
      <c r="M325" s="235"/>
      <c r="N325" s="235"/>
      <c r="O325" s="235"/>
      <c r="P325" s="235"/>
      <c r="Q325" s="236"/>
      <c r="R325" s="236"/>
      <c r="S325" s="236"/>
    </row>
    <row r="326" spans="11:19" x14ac:dyDescent="0.25">
      <c r="K326" s="235"/>
      <c r="L326" s="235"/>
      <c r="M326" s="235"/>
      <c r="N326" s="235"/>
      <c r="O326" s="235"/>
      <c r="P326" s="235"/>
      <c r="Q326" s="236"/>
      <c r="R326" s="236"/>
      <c r="S326" s="236"/>
    </row>
    <row r="327" spans="11:19" x14ac:dyDescent="0.25">
      <c r="K327" s="235"/>
      <c r="L327" s="235"/>
      <c r="M327" s="235"/>
      <c r="N327" s="235"/>
      <c r="O327" s="235"/>
      <c r="P327" s="235"/>
      <c r="Q327" s="236"/>
      <c r="R327" s="236"/>
      <c r="S327" s="236"/>
    </row>
    <row r="328" spans="11:19" x14ac:dyDescent="0.25">
      <c r="K328" s="235"/>
      <c r="L328" s="235"/>
      <c r="M328" s="235"/>
      <c r="N328" s="235"/>
      <c r="O328" s="235"/>
      <c r="P328" s="235"/>
      <c r="Q328" s="236"/>
      <c r="R328" s="236"/>
      <c r="S328" s="236"/>
    </row>
    <row r="329" spans="11:19" x14ac:dyDescent="0.25">
      <c r="K329" s="235"/>
      <c r="L329" s="235"/>
      <c r="M329" s="235"/>
      <c r="N329" s="235"/>
      <c r="O329" s="235"/>
      <c r="P329" s="235"/>
      <c r="Q329" s="236"/>
      <c r="R329" s="236"/>
      <c r="S329" s="236"/>
    </row>
    <row r="330" spans="11:19" x14ac:dyDescent="0.25">
      <c r="K330" s="235"/>
      <c r="L330" s="235"/>
      <c r="M330" s="235"/>
      <c r="N330" s="235"/>
      <c r="O330" s="235"/>
      <c r="P330" s="235"/>
      <c r="Q330" s="236"/>
      <c r="R330" s="236"/>
      <c r="S330" s="236"/>
    </row>
    <row r="331" spans="11:19" x14ac:dyDescent="0.25">
      <c r="K331" s="235"/>
      <c r="L331" s="235"/>
      <c r="M331" s="235"/>
      <c r="N331" s="235"/>
      <c r="O331" s="235"/>
      <c r="P331" s="235"/>
      <c r="Q331" s="236"/>
      <c r="R331" s="236"/>
      <c r="S331" s="236"/>
    </row>
  </sheetData>
  <mergeCells count="35">
    <mergeCell ref="E29:G29"/>
    <mergeCell ref="D56:G56"/>
    <mergeCell ref="C19:F19"/>
    <mergeCell ref="A21:F21"/>
    <mergeCell ref="C24:F24"/>
    <mergeCell ref="C25:F25"/>
    <mergeCell ref="C26:F26"/>
    <mergeCell ref="C23:F23"/>
    <mergeCell ref="P8:P9"/>
    <mergeCell ref="N8:O8"/>
    <mergeCell ref="A16:F16"/>
    <mergeCell ref="C17:F17"/>
    <mergeCell ref="C18:F18"/>
    <mergeCell ref="A14:F14"/>
    <mergeCell ref="A10:F10"/>
    <mergeCell ref="C11:F11"/>
    <mergeCell ref="C12:F12"/>
    <mergeCell ref="C13:F13"/>
    <mergeCell ref="L8:M8"/>
    <mergeCell ref="C8:F8"/>
    <mergeCell ref="I8:I9"/>
    <mergeCell ref="J8:J9"/>
    <mergeCell ref="K8:K9"/>
    <mergeCell ref="C7:F7"/>
    <mergeCell ref="A1:R1"/>
    <mergeCell ref="A2:R2"/>
    <mergeCell ref="A3:R3"/>
    <mergeCell ref="A5:F5"/>
    <mergeCell ref="H5:L5"/>
    <mergeCell ref="N5:Q5"/>
    <mergeCell ref="C6:F6"/>
    <mergeCell ref="H6:J6"/>
    <mergeCell ref="K6:L6"/>
    <mergeCell ref="N6:O6"/>
    <mergeCell ref="P6:Q6"/>
  </mergeCells>
  <phoneticPr fontId="1" type="noConversion"/>
  <dataValidations count="1">
    <dataValidation type="decimal" errorStyle="warning" allowBlank="1" showErrorMessage="1" errorTitle="输入错误！" error="温度超限，请在检查数据后重新输入！" sqref="L57" xr:uid="{00000000-0002-0000-0500-000000000000}">
      <formula1>0.5</formula1>
      <formula2>35.1</formula2>
    </dataValidation>
  </dataValidations>
  <pageMargins left="0.7" right="0.7" top="0.75" bottom="0.75" header="0.3" footer="0.3"/>
  <ignoredErrors>
    <ignoredError sqref="I11:I25 K11:K25 J10 O12:O25 AK62:AK208 AL62:AL144 AL145:AL208 C30" unlockedFormula="1"/>
  </ignoredErrors>
  <drawing r:id="rId1"/>
  <legacyDrawing r:id="rId2"/>
  <oleObjects>
    <mc:AlternateContent xmlns:mc="http://schemas.openxmlformats.org/markup-compatibility/2006">
      <mc:Choice Requires="x14">
        <oleObject progId="Equation.3" shapeId="16397" r:id="rId3">
          <objectPr defaultSize="0" autoPict="0" r:id="rId4">
            <anchor moveWithCells="1">
              <from>
                <xdr:col>34</xdr:col>
                <xdr:colOff>0</xdr:colOff>
                <xdr:row>135</xdr:row>
                <xdr:rowOff>0</xdr:rowOff>
              </from>
              <to>
                <xdr:col>36</xdr:col>
                <xdr:colOff>53340</xdr:colOff>
                <xdr:row>136</xdr:row>
                <xdr:rowOff>68580</xdr:rowOff>
              </to>
            </anchor>
          </objectPr>
        </oleObject>
      </mc:Choice>
      <mc:Fallback>
        <oleObject progId="Equation.3" shapeId="16397" r:id="rId3"/>
      </mc:Fallback>
    </mc:AlternateContent>
  </oleObjects>
  <mc:AlternateContent xmlns:mc="http://schemas.openxmlformats.org/markup-compatibility/2006">
    <mc:Choice Requires="x14">
      <controls>
        <mc:AlternateContent xmlns:mc="http://schemas.openxmlformats.org/markup-compatibility/2006">
          <mc:Choice Requires="x14">
            <control shapeId="16385" r:id="rId5" name="Option Button 1">
              <controlPr defaultSize="0" autoFill="0" autoLine="0" autoPict="0" macro="[0]!选项按钮20_Click" altText="使用默认值">
                <anchor moveWithCells="1">
                  <from>
                    <xdr:col>4</xdr:col>
                    <xdr:colOff>457200</xdr:colOff>
                    <xdr:row>16</xdr:row>
                    <xdr:rowOff>137160</xdr:rowOff>
                  </from>
                  <to>
                    <xdr:col>6</xdr:col>
                    <xdr:colOff>137160</xdr:colOff>
                    <xdr:row>17</xdr:row>
                    <xdr:rowOff>175260</xdr:rowOff>
                  </to>
                </anchor>
              </controlPr>
            </control>
          </mc:Choice>
        </mc:AlternateContent>
        <mc:AlternateContent xmlns:mc="http://schemas.openxmlformats.org/markup-compatibility/2006">
          <mc:Choice Requires="x14">
            <control shapeId="16386" r:id="rId6" name="Option Button 2">
              <controlPr defaultSize="0" autoFill="0" autoLine="0" autoPict="0" macro="[0]!选项按钮18_Click">
                <anchor moveWithCells="1">
                  <from>
                    <xdr:col>4</xdr:col>
                    <xdr:colOff>457200</xdr:colOff>
                    <xdr:row>18</xdr:row>
                    <xdr:rowOff>38100</xdr:rowOff>
                  </from>
                  <to>
                    <xdr:col>5</xdr:col>
                    <xdr:colOff>457200</xdr:colOff>
                    <xdr:row>19</xdr:row>
                    <xdr:rowOff>0</xdr:rowOff>
                  </to>
                </anchor>
              </controlPr>
            </control>
          </mc:Choice>
        </mc:AlternateContent>
        <mc:AlternateContent xmlns:mc="http://schemas.openxmlformats.org/markup-compatibility/2006">
          <mc:Choice Requires="x14">
            <control shapeId="16387" r:id="rId7" name="Option Button 3">
              <controlPr defaultSize="0" autoFill="0" autoLine="0" autoPict="0" macro="[0]!选项按钮21_Click">
                <anchor moveWithCells="1">
                  <from>
                    <xdr:col>4</xdr:col>
                    <xdr:colOff>457200</xdr:colOff>
                    <xdr:row>21</xdr:row>
                    <xdr:rowOff>137160</xdr:rowOff>
                  </from>
                  <to>
                    <xdr:col>6</xdr:col>
                    <xdr:colOff>137160</xdr:colOff>
                    <xdr:row>22</xdr:row>
                    <xdr:rowOff>114300</xdr:rowOff>
                  </to>
                </anchor>
              </controlPr>
            </control>
          </mc:Choice>
        </mc:AlternateContent>
        <mc:AlternateContent xmlns:mc="http://schemas.openxmlformats.org/markup-compatibility/2006">
          <mc:Choice Requires="x14">
            <control shapeId="16388" r:id="rId8" name="Option Button 4">
              <controlPr defaultSize="0" autoFill="0" autoLine="0" autoPict="0" macro="[0]!选项按钮19_Click">
                <anchor moveWithCells="1">
                  <from>
                    <xdr:col>4</xdr:col>
                    <xdr:colOff>457200</xdr:colOff>
                    <xdr:row>23</xdr:row>
                    <xdr:rowOff>22860</xdr:rowOff>
                  </from>
                  <to>
                    <xdr:col>6</xdr:col>
                    <xdr:colOff>137160</xdr:colOff>
                    <xdr:row>23</xdr:row>
                    <xdr:rowOff>205740</xdr:rowOff>
                  </to>
                </anchor>
              </controlPr>
            </control>
          </mc:Choice>
        </mc:AlternateContent>
        <mc:AlternateContent xmlns:mc="http://schemas.openxmlformats.org/markup-compatibility/2006">
          <mc:Choice Requires="x14">
            <control shapeId="16389" r:id="rId9" name="Group Box 5">
              <controlPr defaultSize="0" autoFill="0" autoPict="0">
                <anchor moveWithCells="1">
                  <from>
                    <xdr:col>0</xdr:col>
                    <xdr:colOff>152400</xdr:colOff>
                    <xdr:row>27</xdr:row>
                    <xdr:rowOff>53340</xdr:rowOff>
                  </from>
                  <to>
                    <xdr:col>15</xdr:col>
                    <xdr:colOff>480060</xdr:colOff>
                    <xdr:row>48</xdr:row>
                    <xdr:rowOff>60960</xdr:rowOff>
                  </to>
                </anchor>
              </controlPr>
            </control>
          </mc:Choice>
        </mc:AlternateContent>
        <mc:AlternateContent xmlns:mc="http://schemas.openxmlformats.org/markup-compatibility/2006">
          <mc:Choice Requires="x14">
            <control shapeId="16390" r:id="rId10" name="Option Button 6">
              <controlPr defaultSize="0" autoFill="0" autoLine="0" autoPict="0">
                <anchor moveWithCells="1">
                  <from>
                    <xdr:col>8</xdr:col>
                    <xdr:colOff>289560</xdr:colOff>
                    <xdr:row>5</xdr:row>
                    <xdr:rowOff>137160</xdr:rowOff>
                  </from>
                  <to>
                    <xdr:col>10</xdr:col>
                    <xdr:colOff>266700</xdr:colOff>
                    <xdr:row>6</xdr:row>
                    <xdr:rowOff>213360</xdr:rowOff>
                  </to>
                </anchor>
              </controlPr>
            </control>
          </mc:Choice>
        </mc:AlternateContent>
        <mc:AlternateContent xmlns:mc="http://schemas.openxmlformats.org/markup-compatibility/2006">
          <mc:Choice Requires="x14">
            <control shapeId="16391" r:id="rId11" name="Option Button 7">
              <controlPr defaultSize="0" autoFill="0" autoLine="0" autoPict="0">
                <anchor moveWithCells="1">
                  <from>
                    <xdr:col>12</xdr:col>
                    <xdr:colOff>114300</xdr:colOff>
                    <xdr:row>6</xdr:row>
                    <xdr:rowOff>22860</xdr:rowOff>
                  </from>
                  <to>
                    <xdr:col>13</xdr:col>
                    <xdr:colOff>480060</xdr:colOff>
                    <xdr:row>6</xdr:row>
                    <xdr:rowOff>205740</xdr:rowOff>
                  </to>
                </anchor>
              </controlPr>
            </control>
          </mc:Choice>
        </mc:AlternateContent>
        <mc:AlternateContent xmlns:mc="http://schemas.openxmlformats.org/markup-compatibility/2006">
          <mc:Choice Requires="x14">
            <control shapeId="16392" r:id="rId12" name="Group Box 8">
              <controlPr defaultSize="0" autoFill="0" autoPict="0">
                <anchor moveWithCells="1">
                  <from>
                    <xdr:col>7</xdr:col>
                    <xdr:colOff>381000</xdr:colOff>
                    <xdr:row>5</xdr:row>
                    <xdr:rowOff>22860</xdr:rowOff>
                  </from>
                  <to>
                    <xdr:col>16</xdr:col>
                    <xdr:colOff>632460</xdr:colOff>
                    <xdr:row>27</xdr:row>
                    <xdr:rowOff>22860</xdr:rowOff>
                  </to>
                </anchor>
              </controlPr>
            </control>
          </mc:Choice>
        </mc:AlternateContent>
        <mc:AlternateContent xmlns:mc="http://schemas.openxmlformats.org/markup-compatibility/2006">
          <mc:Choice Requires="x14">
            <control shapeId="16393" r:id="rId13" name="Group Box 9">
              <controlPr defaultSize="0" autoFill="0" autoPict="0">
                <anchor moveWithCells="1">
                  <from>
                    <xdr:col>0</xdr:col>
                    <xdr:colOff>152400</xdr:colOff>
                    <xdr:row>9</xdr:row>
                    <xdr:rowOff>91440</xdr:rowOff>
                  </from>
                  <to>
                    <xdr:col>6</xdr:col>
                    <xdr:colOff>800100</xdr:colOff>
                    <xdr:row>14</xdr:row>
                    <xdr:rowOff>99060</xdr:rowOff>
                  </to>
                </anchor>
              </controlPr>
            </control>
          </mc:Choice>
        </mc:AlternateContent>
        <mc:AlternateContent xmlns:mc="http://schemas.openxmlformats.org/markup-compatibility/2006">
          <mc:Choice Requires="x14">
            <control shapeId="16394" r:id="rId14" name="Group Box 10">
              <controlPr defaultSize="0" autoFill="0" autoPict="0">
                <anchor moveWithCells="1">
                  <from>
                    <xdr:col>0</xdr:col>
                    <xdr:colOff>152400</xdr:colOff>
                    <xdr:row>15</xdr:row>
                    <xdr:rowOff>38100</xdr:rowOff>
                  </from>
                  <to>
                    <xdr:col>6</xdr:col>
                    <xdr:colOff>800100</xdr:colOff>
                    <xdr:row>19</xdr:row>
                    <xdr:rowOff>91440</xdr:rowOff>
                  </to>
                </anchor>
              </controlPr>
            </control>
          </mc:Choice>
        </mc:AlternateContent>
        <mc:AlternateContent xmlns:mc="http://schemas.openxmlformats.org/markup-compatibility/2006">
          <mc:Choice Requires="x14">
            <control shapeId="16395" r:id="rId15" name="Group Box 11">
              <controlPr defaultSize="0" autoFill="0" autoPict="0">
                <anchor moveWithCells="1">
                  <from>
                    <xdr:col>0</xdr:col>
                    <xdr:colOff>137160</xdr:colOff>
                    <xdr:row>20</xdr:row>
                    <xdr:rowOff>22860</xdr:rowOff>
                  </from>
                  <to>
                    <xdr:col>6</xdr:col>
                    <xdr:colOff>784860</xdr:colOff>
                    <xdr:row>26</xdr:row>
                    <xdr:rowOff>0</xdr:rowOff>
                  </to>
                </anchor>
              </controlPr>
            </control>
          </mc:Choice>
        </mc:AlternateContent>
        <mc:AlternateContent xmlns:mc="http://schemas.openxmlformats.org/markup-compatibility/2006">
          <mc:Choice Requires="x14">
            <control shapeId="16396" r:id="rId16" name="Group Box 12">
              <controlPr defaultSize="0" autoFill="0" autoPict="0">
                <anchor moveWithCells="1">
                  <from>
                    <xdr:col>0</xdr:col>
                    <xdr:colOff>137160</xdr:colOff>
                    <xdr:row>4</xdr:row>
                    <xdr:rowOff>99060</xdr:rowOff>
                  </from>
                  <to>
                    <xdr:col>6</xdr:col>
                    <xdr:colOff>800100</xdr:colOff>
                    <xdr:row>8</xdr:row>
                    <xdr:rowOff>137160</xdr:rowOff>
                  </to>
                </anchor>
              </controlPr>
            </control>
          </mc:Choice>
        </mc:AlternateContent>
        <mc:AlternateContent xmlns:mc="http://schemas.openxmlformats.org/markup-compatibility/2006">
          <mc:Choice Requires="x14">
            <control shapeId="16398" r:id="rId17" name="Option Button 14">
              <controlPr defaultSize="0" autoFill="0" autoLine="0" autoPict="0" macro="[0]!控制按钮9_click">
                <anchor moveWithCells="1">
                  <from>
                    <xdr:col>4</xdr:col>
                    <xdr:colOff>449580</xdr:colOff>
                    <xdr:row>10</xdr:row>
                    <xdr:rowOff>106680</xdr:rowOff>
                  </from>
                  <to>
                    <xdr:col>5</xdr:col>
                    <xdr:colOff>457200</xdr:colOff>
                    <xdr:row>11</xdr:row>
                    <xdr:rowOff>91440</xdr:rowOff>
                  </to>
                </anchor>
              </controlPr>
            </control>
          </mc:Choice>
        </mc:AlternateContent>
        <mc:AlternateContent xmlns:mc="http://schemas.openxmlformats.org/markup-compatibility/2006">
          <mc:Choice Requires="x14">
            <control shapeId="16399" r:id="rId18" name="Option Button 15">
              <controlPr defaultSize="0" autoFill="0" autoLine="0" autoPict="0" macro="[0]!选项按钮17_Click">
                <anchor moveWithCells="1">
                  <from>
                    <xdr:col>4</xdr:col>
                    <xdr:colOff>449580</xdr:colOff>
                    <xdr:row>11</xdr:row>
                    <xdr:rowOff>251460</xdr:rowOff>
                  </from>
                  <to>
                    <xdr:col>5</xdr:col>
                    <xdr:colOff>457200</xdr:colOff>
                    <xdr:row>12</xdr:row>
                    <xdr:rowOff>167640</xdr:rowOff>
                  </to>
                </anchor>
              </controlPr>
            </control>
          </mc:Choice>
        </mc:AlternateContent>
        <mc:AlternateContent xmlns:mc="http://schemas.openxmlformats.org/markup-compatibility/2006">
          <mc:Choice Requires="x14">
            <control shapeId="16400" r:id="rId19" name="Button 16">
              <controlPr defaultSize="0" print="0" autoFill="0" autoPict="0" macro="[0]!ExportResult">
                <anchor moveWithCells="1" sizeWithCells="1">
                  <from>
                    <xdr:col>15</xdr:col>
                    <xdr:colOff>746760</xdr:colOff>
                    <xdr:row>40</xdr:row>
                    <xdr:rowOff>137160</xdr:rowOff>
                  </from>
                  <to>
                    <xdr:col>17</xdr:col>
                    <xdr:colOff>53340</xdr:colOff>
                    <xdr:row>43</xdr:row>
                    <xdr:rowOff>60960</xdr:rowOff>
                  </to>
                </anchor>
              </controlPr>
            </control>
          </mc:Choice>
        </mc:AlternateContent>
        <mc:AlternateContent xmlns:mc="http://schemas.openxmlformats.org/markup-compatibility/2006">
          <mc:Choice Requires="x14">
            <control shapeId="16401" r:id="rId20" name="Button 17">
              <controlPr defaultSize="0" print="0" autoFill="0" autoPict="0">
                <anchor moveWithCells="1" sizeWithCells="1">
                  <from>
                    <xdr:col>15</xdr:col>
                    <xdr:colOff>739140</xdr:colOff>
                    <xdr:row>37</xdr:row>
                    <xdr:rowOff>22860</xdr:rowOff>
                  </from>
                  <to>
                    <xdr:col>17</xdr:col>
                    <xdr:colOff>22860</xdr:colOff>
                    <xdr:row>39</xdr:row>
                    <xdr:rowOff>137160</xdr:rowOff>
                  </to>
                </anchor>
              </controlPr>
            </control>
          </mc:Choice>
        </mc:AlternateContent>
        <mc:AlternateContent xmlns:mc="http://schemas.openxmlformats.org/markup-compatibility/2006">
          <mc:Choice Requires="x14">
            <control shapeId="16402" r:id="rId21" name="Button 18">
              <controlPr defaultSize="0" print="0" autoFill="0" autoPict="0" macro="[0]!控制按钮36_click">
                <anchor moveWithCells="1" sizeWithCells="1">
                  <from>
                    <xdr:col>15</xdr:col>
                    <xdr:colOff>708660</xdr:colOff>
                    <xdr:row>44</xdr:row>
                    <xdr:rowOff>99060</xdr:rowOff>
                  </from>
                  <to>
                    <xdr:col>17</xdr:col>
                    <xdr:colOff>22860</xdr:colOff>
                    <xdr:row>47</xdr:row>
                    <xdr:rowOff>22860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XFC3"/>
  <sheetViews>
    <sheetView showGridLines="0" topLeftCell="A70" zoomScale="40" zoomScaleNormal="40" workbookViewId="0">
      <selection activeCell="P185" sqref="P185"/>
    </sheetView>
  </sheetViews>
  <sheetFormatPr defaultColWidth="0" defaultRowHeight="14.4" x14ac:dyDescent="0.25"/>
  <cols>
    <col min="1" max="1" width="8.21875" style="4" customWidth="1"/>
    <col min="2" max="2" width="8" style="4" customWidth="1"/>
    <col min="3" max="3" width="7.21875" style="4" customWidth="1"/>
    <col min="4" max="4" width="8" style="4" customWidth="1"/>
    <col min="5" max="5" width="8.21875" style="4" customWidth="1"/>
    <col min="6" max="6" width="7.88671875" style="4" customWidth="1"/>
    <col min="7" max="9" width="9" style="4" customWidth="1"/>
    <col min="10" max="10" width="8.33203125" style="4" customWidth="1"/>
    <col min="11" max="14" width="9" style="4" customWidth="1"/>
    <col min="15" max="15" width="7.88671875" style="4" customWidth="1"/>
    <col min="16" max="16" width="6.33203125" style="4" customWidth="1"/>
    <col min="17" max="17" width="7.33203125" style="4" customWidth="1"/>
    <col min="18" max="18" width="6.88671875" style="4" customWidth="1"/>
    <col min="19" max="19" width="9" style="4" customWidth="1"/>
    <col min="20" max="16383" width="9" style="4" hidden="1"/>
    <col min="16384" max="16384" width="4.21875" style="4" hidden="1" customWidth="1"/>
  </cols>
  <sheetData>
    <row r="1" spans="1:19" s="1" customFormat="1" ht="39.75" customHeight="1" x14ac:dyDescent="0.25">
      <c r="A1" s="433" t="s">
        <v>107</v>
      </c>
      <c r="B1" s="433"/>
      <c r="C1" s="433"/>
      <c r="D1" s="433"/>
      <c r="E1" s="433"/>
      <c r="F1" s="433"/>
      <c r="G1" s="433"/>
      <c r="H1" s="433"/>
      <c r="I1" s="433"/>
      <c r="J1" s="433"/>
      <c r="K1" s="433"/>
      <c r="L1" s="433"/>
      <c r="M1" s="433"/>
      <c r="N1" s="433"/>
      <c r="O1" s="433"/>
      <c r="P1" s="433"/>
      <c r="Q1" s="433"/>
      <c r="R1" s="433"/>
      <c r="S1" s="433"/>
    </row>
    <row r="2" spans="1:19" s="492" customFormat="1" ht="24" customHeight="1" x14ac:dyDescent="0.25">
      <c r="A2" s="492" t="s">
        <v>64</v>
      </c>
    </row>
    <row r="3" spans="1:19" s="1" customFormat="1" ht="32.25" customHeight="1" x14ac:dyDescent="0.25">
      <c r="A3" s="492" t="s">
        <v>108</v>
      </c>
      <c r="B3" s="492"/>
      <c r="C3" s="492"/>
      <c r="D3" s="492"/>
      <c r="E3" s="492"/>
      <c r="F3" s="492"/>
      <c r="G3" s="492"/>
      <c r="H3" s="492"/>
      <c r="I3" s="492"/>
      <c r="J3" s="492"/>
      <c r="K3" s="492"/>
      <c r="L3" s="492"/>
      <c r="M3" s="492"/>
      <c r="N3" s="492"/>
      <c r="O3" s="492"/>
      <c r="P3" s="492"/>
      <c r="Q3" s="492"/>
      <c r="R3" s="492"/>
      <c r="S3" s="492"/>
    </row>
  </sheetData>
  <mergeCells count="3">
    <mergeCell ref="A1:S1"/>
    <mergeCell ref="A2:XFD2"/>
    <mergeCell ref="A3:S3"/>
  </mergeCells>
  <phoneticPr fontId="1" type="noConversion"/>
  <pageMargins left="0.7" right="0.7" top="0.75" bottom="0.75" header="0.3" footer="0.3"/>
  <pageSetup paperSize="9" orientation="portrait" horizontalDpi="200" verticalDpi="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I8:AC30"/>
  <sheetViews>
    <sheetView topLeftCell="N1" workbookViewId="0">
      <selection activeCell="O24" sqref="O24"/>
    </sheetView>
  </sheetViews>
  <sheetFormatPr defaultRowHeight="14.4" x14ac:dyDescent="0.25"/>
  <cols>
    <col min="10" max="10" width="21.109375" customWidth="1"/>
    <col min="11" max="11" width="30.44140625" customWidth="1"/>
    <col min="28" max="28" width="9.21875" bestFit="1" customWidth="1"/>
  </cols>
  <sheetData>
    <row r="8" spans="9:29" x14ac:dyDescent="0.25">
      <c r="Y8">
        <v>1477.55</v>
      </c>
      <c r="Z8">
        <v>0</v>
      </c>
      <c r="AA8">
        <v>1498</v>
      </c>
      <c r="AC8">
        <f ca="1">GetYByX(AA8,Y8:Y19,Z8:Z19)</f>
        <v>661.18</v>
      </c>
    </row>
    <row r="9" spans="9:29" x14ac:dyDescent="0.25">
      <c r="N9">
        <v>1458.5</v>
      </c>
      <c r="O9">
        <v>1452</v>
      </c>
      <c r="Y9">
        <v>1478.65</v>
      </c>
      <c r="Z9">
        <v>6.3800000000000008</v>
      </c>
    </row>
    <row r="10" spans="9:29" x14ac:dyDescent="0.25">
      <c r="Y10">
        <v>1480.65</v>
      </c>
      <c r="Z10">
        <v>28.58</v>
      </c>
    </row>
    <row r="11" spans="9:29" x14ac:dyDescent="0.25">
      <c r="Y11">
        <v>1482.65</v>
      </c>
      <c r="Z11">
        <v>62.980000000000004</v>
      </c>
    </row>
    <row r="12" spans="9:29" x14ac:dyDescent="0.25">
      <c r="I12">
        <v>1.9900723559412501</v>
      </c>
      <c r="J12">
        <v>1.81741767665868E-3</v>
      </c>
      <c r="K12">
        <f>$N$9+I12</f>
        <v>1460.4900723559413</v>
      </c>
      <c r="L12">
        <f>$O$9+I12</f>
        <v>1453.9900723559413</v>
      </c>
      <c r="M12">
        <v>1480</v>
      </c>
      <c r="N12">
        <f ca="1">vbaSpline(M12,$K$12:$K$30,$J$12:$J$30)</f>
        <v>1.400922653781298</v>
      </c>
      <c r="O12">
        <f ca="1">vbaSpline(M12,$L$12:$L$30,$J$12:$J$30)</f>
        <v>3.0581369318957208</v>
      </c>
      <c r="Y12">
        <v>1484.65</v>
      </c>
      <c r="Z12">
        <v>111.18</v>
      </c>
    </row>
    <row r="13" spans="9:29" x14ac:dyDescent="0.25">
      <c r="I13">
        <v>3.8810954485046101</v>
      </c>
      <c r="J13">
        <v>4.00740597703238E-2</v>
      </c>
      <c r="K13">
        <f t="shared" ref="K13:K30" si="0">$N$9+I13</f>
        <v>1462.3810954485045</v>
      </c>
      <c r="L13">
        <f t="shared" ref="L13:L30" si="1">$O$9+I13</f>
        <v>1455.8810954485045</v>
      </c>
      <c r="M13">
        <v>1485</v>
      </c>
      <c r="N13">
        <f t="shared" ref="N13:N18" ca="1" si="2">vbaSpline(M13,$K$12:$K$30,$J$12:$J$30)</f>
        <v>2.5731659013367447</v>
      </c>
      <c r="O13">
        <f t="shared" ref="O13:O18" ca="1" si="3">vbaSpline(M13,$L$12:$L$30,$J$12:$J$30)</f>
        <v>4.9675433083550296</v>
      </c>
      <c r="Y13">
        <v>1486.65</v>
      </c>
      <c r="Z13">
        <v>172.68</v>
      </c>
    </row>
    <row r="14" spans="9:29" x14ac:dyDescent="0.25">
      <c r="I14">
        <v>5.87071345002669</v>
      </c>
      <c r="J14">
        <v>5.3613821461430998E-3</v>
      </c>
      <c r="K14">
        <f t="shared" si="0"/>
        <v>1464.3707134500266</v>
      </c>
      <c r="L14">
        <f t="shared" si="1"/>
        <v>1457.8707134500266</v>
      </c>
      <c r="M14">
        <v>1490</v>
      </c>
      <c r="N14">
        <f t="shared" ca="1" si="2"/>
        <v>4.3277201190261074</v>
      </c>
      <c r="O14">
        <f t="shared" ca="1" si="3"/>
        <v>7.1525257591374087</v>
      </c>
      <c r="Y14">
        <v>1488.65</v>
      </c>
      <c r="Z14">
        <v>245.58</v>
      </c>
    </row>
    <row r="15" spans="9:29" x14ac:dyDescent="0.25">
      <c r="I15">
        <v>7.8612401603871103</v>
      </c>
      <c r="J15">
        <v>4.3708895123641199E-2</v>
      </c>
      <c r="K15">
        <f t="shared" si="0"/>
        <v>1466.3612401603871</v>
      </c>
      <c r="L15">
        <f t="shared" si="1"/>
        <v>1459.8612401603871</v>
      </c>
      <c r="M15">
        <v>1500</v>
      </c>
      <c r="N15">
        <f t="shared" ca="1" si="2"/>
        <v>8.3688982124434084</v>
      </c>
      <c r="O15">
        <f t="shared" ca="1" si="3"/>
        <v>10.627875625725979</v>
      </c>
      <c r="Y15">
        <v>1490.65</v>
      </c>
      <c r="Z15">
        <v>330.88</v>
      </c>
    </row>
    <row r="16" spans="9:29" x14ac:dyDescent="0.25">
      <c r="I16">
        <v>9.9512704885445906</v>
      </c>
      <c r="J16">
        <v>8.2147278984972205E-2</v>
      </c>
      <c r="K16">
        <f t="shared" si="0"/>
        <v>1468.4512704885447</v>
      </c>
      <c r="L16">
        <f t="shared" si="1"/>
        <v>1461.9512704885447</v>
      </c>
      <c r="M16">
        <v>1496.65</v>
      </c>
      <c r="N16">
        <f t="shared" ca="1" si="2"/>
        <v>7.2046560071362693</v>
      </c>
      <c r="O16">
        <f t="shared" ca="1" si="3"/>
        <v>9.4636334204188408</v>
      </c>
      <c r="Y16">
        <v>1492.65</v>
      </c>
      <c r="Z16">
        <v>428.17999999999995</v>
      </c>
    </row>
    <row r="17" spans="9:26" x14ac:dyDescent="0.25">
      <c r="I17">
        <v>11.7436986721492</v>
      </c>
      <c r="J17">
        <v>0.19337324079648299</v>
      </c>
      <c r="K17">
        <f t="shared" si="0"/>
        <v>1470.2436986721491</v>
      </c>
      <c r="L17">
        <f t="shared" si="1"/>
        <v>1463.7436986721491</v>
      </c>
      <c r="M17">
        <v>1500</v>
      </c>
      <c r="N17">
        <f t="shared" ca="1" si="2"/>
        <v>8.3688982124434084</v>
      </c>
      <c r="O17">
        <f t="shared" ca="1" si="3"/>
        <v>10.627875625725979</v>
      </c>
      <c r="Y17">
        <v>1494.65</v>
      </c>
      <c r="Z17">
        <v>537.07999999999993</v>
      </c>
    </row>
    <row r="18" spans="9:26" x14ac:dyDescent="0.25">
      <c r="I18">
        <v>13.835092063564201</v>
      </c>
      <c r="J18">
        <v>0.34140191056033298</v>
      </c>
      <c r="K18">
        <f t="shared" si="0"/>
        <v>1472.3350920635642</v>
      </c>
      <c r="L18">
        <f t="shared" si="1"/>
        <v>1465.8350920635642</v>
      </c>
      <c r="M18">
        <v>1493</v>
      </c>
      <c r="N18">
        <f t="shared" ca="1" si="2"/>
        <v>5.6779895445458806</v>
      </c>
      <c r="O18">
        <f t="shared" ca="1" si="3"/>
        <v>8.1951307191139797</v>
      </c>
      <c r="Y18">
        <v>1496.65</v>
      </c>
      <c r="Z18">
        <v>661.18</v>
      </c>
    </row>
    <row r="19" spans="9:26" x14ac:dyDescent="0.25">
      <c r="I19">
        <v>15.8278905460204</v>
      </c>
      <c r="J19">
        <v>0.562399900042028</v>
      </c>
      <c r="K19">
        <f t="shared" si="0"/>
        <v>1474.3278905460204</v>
      </c>
      <c r="L19">
        <f t="shared" si="1"/>
        <v>1467.8278905460204</v>
      </c>
      <c r="Y19">
        <v>1497.65</v>
      </c>
      <c r="Z19">
        <v>732.18</v>
      </c>
    </row>
    <row r="20" spans="9:26" x14ac:dyDescent="0.25">
      <c r="I20">
        <v>17.920647000692899</v>
      </c>
      <c r="J20">
        <v>0.82001885570839494</v>
      </c>
      <c r="K20">
        <f t="shared" si="0"/>
        <v>1476.420647000693</v>
      </c>
      <c r="L20">
        <f t="shared" si="1"/>
        <v>1469.920647000693</v>
      </c>
    </row>
    <row r="21" spans="9:26" x14ac:dyDescent="0.25">
      <c r="I21">
        <v>19.714892601974199</v>
      </c>
      <c r="J21">
        <v>1.07736519872326</v>
      </c>
      <c r="K21">
        <f t="shared" si="0"/>
        <v>1478.2148926019743</v>
      </c>
      <c r="L21">
        <f t="shared" si="1"/>
        <v>1471.7148926019743</v>
      </c>
    </row>
    <row r="22" spans="9:26" x14ac:dyDescent="0.25">
      <c r="I22">
        <v>21.908970092120398</v>
      </c>
      <c r="J22">
        <v>1.48119540647682</v>
      </c>
      <c r="K22">
        <f t="shared" si="0"/>
        <v>1480.4089700921204</v>
      </c>
      <c r="L22">
        <f t="shared" si="1"/>
        <v>1473.9089700921204</v>
      </c>
    </row>
    <row r="23" spans="9:26" x14ac:dyDescent="0.25">
      <c r="I23">
        <v>24.003998318888701</v>
      </c>
      <c r="J23">
        <v>1.92146483864739</v>
      </c>
      <c r="K23">
        <f t="shared" si="0"/>
        <v>1482.5039983188888</v>
      </c>
      <c r="L23">
        <f t="shared" si="1"/>
        <v>1476.0039983188888</v>
      </c>
    </row>
    <row r="24" spans="9:26" x14ac:dyDescent="0.25">
      <c r="I24">
        <v>25.900473664482</v>
      </c>
      <c r="J24">
        <v>2.3980826243511202</v>
      </c>
      <c r="K24">
        <f t="shared" si="0"/>
        <v>1484.400473664482</v>
      </c>
      <c r="L24">
        <f t="shared" si="1"/>
        <v>1477.900473664482</v>
      </c>
    </row>
    <row r="25" spans="9:26" x14ac:dyDescent="0.25">
      <c r="I25">
        <v>27.9982280177653</v>
      </c>
      <c r="J25">
        <v>3.0575326283267299</v>
      </c>
      <c r="K25">
        <f t="shared" si="0"/>
        <v>1486.4982280177653</v>
      </c>
      <c r="L25">
        <f t="shared" si="1"/>
        <v>1479.9982280177653</v>
      </c>
    </row>
    <row r="26" spans="9:26" x14ac:dyDescent="0.25">
      <c r="I26">
        <v>29.997387462089801</v>
      </c>
      <c r="J26">
        <v>3.7899519520201701</v>
      </c>
      <c r="K26">
        <f t="shared" si="0"/>
        <v>1488.4973874620898</v>
      </c>
      <c r="L26">
        <f t="shared" si="1"/>
        <v>1481.9973874620898</v>
      </c>
    </row>
    <row r="27" spans="9:26" x14ac:dyDescent="0.25">
      <c r="I27">
        <v>31.996546906414299</v>
      </c>
      <c r="J27">
        <v>4.5223712757136196</v>
      </c>
      <c r="K27">
        <f t="shared" si="0"/>
        <v>1490.4965469064143</v>
      </c>
      <c r="L27">
        <f t="shared" si="1"/>
        <v>1483.9965469064143</v>
      </c>
    </row>
    <row r="28" spans="9:26" x14ac:dyDescent="0.25">
      <c r="I28">
        <v>33.997978122834702</v>
      </c>
      <c r="J28">
        <v>5.4374410759112601</v>
      </c>
      <c r="K28">
        <f t="shared" si="0"/>
        <v>1492.4979781228346</v>
      </c>
      <c r="L28">
        <f t="shared" si="1"/>
        <v>1485.9979781228346</v>
      </c>
    </row>
    <row r="29" spans="9:26" x14ac:dyDescent="0.25">
      <c r="I29">
        <v>35.9998636936742</v>
      </c>
      <c r="J29">
        <v>6.3890409714097496</v>
      </c>
      <c r="K29">
        <f t="shared" si="0"/>
        <v>1494.4998636936741</v>
      </c>
      <c r="L29">
        <f t="shared" si="1"/>
        <v>1487.9998636936741</v>
      </c>
    </row>
    <row r="30" spans="9:26" x14ac:dyDescent="0.25">
      <c r="I30">
        <v>37.699603575769302</v>
      </c>
      <c r="J30">
        <v>7.0481274918500203</v>
      </c>
      <c r="K30">
        <f t="shared" si="0"/>
        <v>1496.1996035757693</v>
      </c>
      <c r="L30">
        <f t="shared" si="1"/>
        <v>1489.6996035757693</v>
      </c>
    </row>
  </sheetData>
  <phoneticPr fontId="1" type="noConversion"/>
  <pageMargins left="0.7" right="0.7" top="0.75" bottom="0.75" header="0.3" footer="0.3"/>
  <pageSetup paperSize="9" orientation="portrait" horizontalDpi="1200" verticalDpi="1200" r:id="rId1"/>
  <drawing r:id="rId2"/>
</worksheet>
</file>

<file path=customUI/_rels/customUI.xml.rels><?xml version="1.0" encoding="UTF-8" standalone="yes"?>
<Relationships xmlns="http://schemas.openxmlformats.org/package/2006/relationships"><Relationship Id="image_word" Type="http://schemas.openxmlformats.org/officeDocument/2006/relationships/image" Target="images/image_word.png"/><Relationship Id="image_export" Type="http://schemas.openxmlformats.org/officeDocument/2006/relationships/image" Target="images/image_export.png"/><Relationship Id="image_help" Type="http://schemas.openxmlformats.org/officeDocument/2006/relationships/image" Target="images/image_help.png"/><Relationship Id="image_cal" Type="http://schemas.openxmlformats.org/officeDocument/2006/relationships/image" Target="images/image_cal.png"/><Relationship Id="image_ini" Type="http://schemas.openxmlformats.org/officeDocument/2006/relationships/image" Target="images/image_ini.png"/><Relationship Id="image_saveas" Type="http://schemas.openxmlformats.org/officeDocument/2006/relationships/image" Target="images/image_saveas.png"/><Relationship Id="image_import" Type="http://schemas.openxmlformats.org/officeDocument/2006/relationships/image" Target="images/image_import.png"/></Relationships>
</file>

<file path=customUI/customUI.xml>��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Input</vt:lpstr>
      <vt:lpstr>Calculation</vt:lpstr>
      <vt:lpstr>W.H curve</vt:lpstr>
      <vt:lpstr>erosion Calculation</vt:lpstr>
      <vt:lpstr>erosion model</vt:lpstr>
      <vt:lpstr>calculation2</vt:lpstr>
      <vt:lpstr>User Manual</vt:lpstr>
      <vt:lpstr>Sheet1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ceXuli</dc:creator>
  <cp:lastModifiedBy>陈 祖煜</cp:lastModifiedBy>
  <cp:lastPrinted>2014-04-24T08:17:03Z</cp:lastPrinted>
  <dcterms:created xsi:type="dcterms:W3CDTF">2006-09-13T11:21:51Z</dcterms:created>
  <dcterms:modified xsi:type="dcterms:W3CDTF">2020-06-06T22:36:36Z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09693528-a5c6-4c10-9073-c78c628a4600</vt:lpwstr>
  </property>
</Properties>
</file>