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3970" windowHeight="6930" tabRatio="618"/>
  </bookViews>
  <sheets>
    <sheet name="Test Summary" sheetId="1" r:id="rId1"/>
    <sheet name="Wing Test" sheetId="4" r:id="rId2"/>
    <sheet name="Components and Fixtures" sheetId="5" r:id="rId3"/>
    <sheet name="Centerbody Test" sheetId="2" r:id="rId4"/>
    <sheet name="Aircraft Test" sheetId="3" r:id="rId5"/>
  </sheets>
  <definedNames>
    <definedName name="g">'Components and Fixtures'!$C$2</definedName>
    <definedName name="in2m">'Components and Fixtures'!$C$3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6" i="5" l="1"/>
  <c r="D31" i="5"/>
  <c r="X8" i="3"/>
  <c r="X7" i="3"/>
  <c r="H8" i="3"/>
  <c r="H7" i="3"/>
  <c r="P8" i="3"/>
  <c r="P7" i="3"/>
  <c r="T13" i="3"/>
  <c r="T12" i="3"/>
  <c r="T9" i="3"/>
  <c r="S21" i="3"/>
  <c r="S22" i="3"/>
  <c r="S17" i="3"/>
  <c r="S16" i="3"/>
  <c r="S19" i="3"/>
  <c r="S18" i="3"/>
  <c r="K19" i="3"/>
  <c r="K18" i="3"/>
  <c r="B19" i="1"/>
  <c r="D6" i="1" l="1"/>
  <c r="E6" i="1"/>
  <c r="C6" i="1"/>
  <c r="E31" i="5"/>
  <c r="F31" i="5"/>
  <c r="B6" i="1"/>
  <c r="J22" i="2"/>
  <c r="C29" i="5" l="1"/>
  <c r="G7" i="4" l="1"/>
  <c r="F24" i="5" l="1"/>
  <c r="B8" i="1"/>
  <c r="B9" i="1"/>
  <c r="B10" i="1"/>
  <c r="B11" i="1"/>
  <c r="B12" i="1"/>
  <c r="B7" i="1"/>
  <c r="I17" i="5"/>
  <c r="H17" i="5"/>
  <c r="G17" i="5"/>
  <c r="D25" i="5"/>
  <c r="D26" i="5"/>
  <c r="G26" i="5"/>
  <c r="H26" i="5"/>
  <c r="I26" i="5"/>
  <c r="I25" i="5"/>
  <c r="H25" i="5"/>
  <c r="G25" i="5"/>
  <c r="E25" i="5"/>
  <c r="G8" i="4"/>
  <c r="H7" i="4"/>
  <c r="H8" i="4" s="1"/>
  <c r="E26" i="5"/>
  <c r="C7" i="1"/>
  <c r="D7" i="1"/>
  <c r="E7" i="1"/>
  <c r="N26" i="2" l="1"/>
  <c r="AA23" i="2" l="1"/>
  <c r="AA22" i="2"/>
  <c r="C10" i="1"/>
  <c r="D10" i="1"/>
  <c r="E10" i="1"/>
  <c r="C11" i="1"/>
  <c r="D11" i="1"/>
  <c r="E11" i="1"/>
  <c r="C12" i="1"/>
  <c r="D12" i="1"/>
  <c r="E12" i="1"/>
  <c r="D9" i="1"/>
  <c r="E9" i="1"/>
  <c r="C9" i="1"/>
  <c r="AF8" i="2"/>
  <c r="AF7" i="2"/>
  <c r="H8" i="2"/>
  <c r="H7" i="2"/>
  <c r="P8" i="2"/>
  <c r="P7" i="2"/>
  <c r="X8" i="2"/>
  <c r="X7" i="2"/>
  <c r="F22" i="5"/>
  <c r="E22" i="5"/>
  <c r="D22" i="5"/>
  <c r="S55" i="3"/>
  <c r="L12" i="3"/>
  <c r="L13" i="3"/>
  <c r="C58" i="3"/>
  <c r="S52" i="3" l="1"/>
  <c r="S51" i="3"/>
  <c r="S50" i="3"/>
  <c r="S49" i="3"/>
  <c r="T48" i="3"/>
  <c r="S47" i="3"/>
  <c r="S46" i="3"/>
  <c r="T45" i="3"/>
  <c r="S44" i="3"/>
  <c r="S43" i="3"/>
  <c r="K44" i="3"/>
  <c r="AA47" i="2"/>
  <c r="K52" i="3"/>
  <c r="K51" i="3"/>
  <c r="K50" i="3"/>
  <c r="K49" i="3"/>
  <c r="L48" i="3"/>
  <c r="K47" i="3"/>
  <c r="K46" i="3"/>
  <c r="L45" i="3"/>
  <c r="K43" i="3"/>
  <c r="AA58" i="2"/>
  <c r="AA54" i="2"/>
  <c r="AA55" i="2"/>
  <c r="AB48" i="2"/>
  <c r="AA49" i="2"/>
  <c r="AA50" i="2"/>
  <c r="AB51" i="2"/>
  <c r="AA52" i="2"/>
  <c r="AA53" i="2"/>
  <c r="AA46" i="2"/>
  <c r="C55" i="3"/>
  <c r="C54" i="3"/>
  <c r="C53" i="3"/>
  <c r="D52" i="3"/>
  <c r="C51" i="3"/>
  <c r="C50" i="3"/>
  <c r="C49" i="3"/>
  <c r="D48" i="3"/>
  <c r="E48" i="3" s="1"/>
  <c r="C47" i="3"/>
  <c r="C46" i="3"/>
  <c r="S59" i="2"/>
  <c r="S56" i="2"/>
  <c r="S55" i="2"/>
  <c r="S54" i="2"/>
  <c r="T53" i="2"/>
  <c r="S52" i="2"/>
  <c r="S51" i="2"/>
  <c r="S50" i="2"/>
  <c r="T49" i="2"/>
  <c r="S48" i="2"/>
  <c r="S47" i="2"/>
  <c r="K59" i="2"/>
  <c r="P12" i="2"/>
  <c r="K56" i="2"/>
  <c r="K55" i="2"/>
  <c r="K50" i="2"/>
  <c r="K54" i="2"/>
  <c r="K52" i="2"/>
  <c r="K51" i="2"/>
  <c r="L53" i="2"/>
  <c r="L49" i="2"/>
  <c r="K48" i="2"/>
  <c r="K47" i="2"/>
  <c r="C31" i="2"/>
  <c r="C30" i="2"/>
  <c r="D13" i="3"/>
  <c r="C13" i="3"/>
  <c r="S13" i="3"/>
  <c r="K13" i="3"/>
  <c r="K55" i="3"/>
  <c r="AA14" i="2"/>
  <c r="U13" i="2"/>
  <c r="T13" i="2"/>
  <c r="S13" i="2"/>
  <c r="M13" i="2"/>
  <c r="L13" i="2"/>
  <c r="K13" i="2"/>
  <c r="E13" i="2"/>
  <c r="D13" i="2"/>
  <c r="C13" i="2"/>
  <c r="C34" i="2"/>
  <c r="AA13" i="2"/>
  <c r="P13" i="2" l="1"/>
  <c r="D17" i="1" l="1"/>
  <c r="D8" i="1" l="1"/>
  <c r="E8" i="1"/>
  <c r="C8" i="1"/>
  <c r="B21" i="3"/>
  <c r="U27" i="3"/>
  <c r="W27" i="3" s="1"/>
  <c r="T27" i="3"/>
  <c r="S48" i="3" s="1"/>
  <c r="U48" i="3" s="1"/>
  <c r="S33" i="3"/>
  <c r="U33" i="3" s="1"/>
  <c r="S32" i="3"/>
  <c r="S12" i="3"/>
  <c r="X12" i="3"/>
  <c r="S35" i="3" s="1"/>
  <c r="U35" i="3" s="1"/>
  <c r="M27" i="3"/>
  <c r="O27" i="3" s="1"/>
  <c r="L27" i="3"/>
  <c r="K48" i="3" s="1"/>
  <c r="M48" i="3" s="1"/>
  <c r="K33" i="3"/>
  <c r="M33" i="3" s="1"/>
  <c r="K32" i="3"/>
  <c r="K12" i="3"/>
  <c r="E26" i="3"/>
  <c r="D26" i="3"/>
  <c r="C52" i="3" s="1"/>
  <c r="E52" i="3" s="1"/>
  <c r="C26" i="3"/>
  <c r="F26" i="3"/>
  <c r="C12" i="3"/>
  <c r="B31" i="3"/>
  <c r="D12" i="3"/>
  <c r="C19" i="2"/>
  <c r="S26" i="3" s="1"/>
  <c r="AC30" i="2"/>
  <c r="AE30" i="2" s="1"/>
  <c r="AA36" i="2"/>
  <c r="AC36" i="2" s="1"/>
  <c r="AA31" i="2"/>
  <c r="AB53" i="2" s="1"/>
  <c r="AB30" i="2"/>
  <c r="AA51" i="2" s="1"/>
  <c r="AC51" i="2" s="1"/>
  <c r="T20" i="2"/>
  <c r="V27" i="2" s="1"/>
  <c r="T27" i="2"/>
  <c r="S53" i="2" s="1"/>
  <c r="U53" i="2" s="1"/>
  <c r="S28" i="2"/>
  <c r="K28" i="2"/>
  <c r="L27" i="2"/>
  <c r="K53" i="2" s="1"/>
  <c r="M53" i="2" s="1"/>
  <c r="U27" i="2"/>
  <c r="R32" i="2"/>
  <c r="U12" i="2"/>
  <c r="T12" i="2"/>
  <c r="S12" i="2"/>
  <c r="X12" i="2"/>
  <c r="S36" i="2" s="1"/>
  <c r="U36" i="2" s="1"/>
  <c r="T47" i="2" s="1"/>
  <c r="J32" i="2"/>
  <c r="M27" i="2"/>
  <c r="L22" i="2"/>
  <c r="N27" i="2" s="1"/>
  <c r="M12" i="2"/>
  <c r="L12" i="2"/>
  <c r="K12" i="2"/>
  <c r="H12" i="2"/>
  <c r="C25" i="2" s="1"/>
  <c r="E25" i="2" s="1"/>
  <c r="D12" i="2"/>
  <c r="E12" i="2"/>
  <c r="C12" i="2"/>
  <c r="F27" i="5"/>
  <c r="E17" i="1" s="1"/>
  <c r="D27" i="5"/>
  <c r="C17" i="1" s="1"/>
  <c r="C23" i="5"/>
  <c r="C24" i="5"/>
  <c r="B14" i="1" s="1"/>
  <c r="D10" i="5"/>
  <c r="C9" i="5"/>
  <c r="AA30" i="2" s="1"/>
  <c r="C8" i="5"/>
  <c r="S27" i="2" s="1"/>
  <c r="D19" i="1"/>
  <c r="B17" i="1"/>
  <c r="C15" i="1"/>
  <c r="D15" i="1"/>
  <c r="E15" i="1"/>
  <c r="C16" i="1"/>
  <c r="D16" i="1"/>
  <c r="E16" i="1"/>
  <c r="B15" i="1"/>
  <c r="B16" i="1"/>
  <c r="C14" i="4"/>
  <c r="C13" i="4"/>
  <c r="D23" i="5" s="1"/>
  <c r="C13" i="1" s="1"/>
  <c r="D13" i="4"/>
  <c r="D14" i="4"/>
  <c r="E24" i="5" s="1"/>
  <c r="D14" i="1" s="1"/>
  <c r="I8" i="4"/>
  <c r="B14" i="4"/>
  <c r="B13" i="4"/>
  <c r="B13" i="1" l="1"/>
  <c r="D24" i="5"/>
  <c r="C14" i="1" s="1"/>
  <c r="E23" i="5"/>
  <c r="D13" i="1" s="1"/>
  <c r="G26" i="3"/>
  <c r="H26" i="3" s="1"/>
  <c r="AB50" i="2"/>
  <c r="D50" i="3"/>
  <c r="E50" i="3" s="1"/>
  <c r="U26" i="3"/>
  <c r="U32" i="3"/>
  <c r="T46" i="3" s="1"/>
  <c r="U46" i="3" s="1"/>
  <c r="M26" i="3"/>
  <c r="M32" i="3"/>
  <c r="P12" i="3"/>
  <c r="K35" i="3" s="1"/>
  <c r="M35" i="3" s="1"/>
  <c r="T51" i="2"/>
  <c r="U51" i="2" s="1"/>
  <c r="K32" i="2"/>
  <c r="AF13" i="2"/>
  <c r="AA38" i="2" s="1"/>
  <c r="AC38" i="2" s="1"/>
  <c r="S32" i="2"/>
  <c r="AA35" i="2"/>
  <c r="T52" i="2"/>
  <c r="U52" i="2" s="1"/>
  <c r="K36" i="2"/>
  <c r="M36" i="2" s="1"/>
  <c r="W27" i="2"/>
  <c r="T50" i="2" s="1"/>
  <c r="U50" i="2" s="1"/>
  <c r="AF30" i="2"/>
  <c r="H12" i="3"/>
  <c r="C35" i="3" s="1"/>
  <c r="E35" i="3" s="1"/>
  <c r="D46" i="3" s="1"/>
  <c r="K27" i="2"/>
  <c r="L51" i="2" s="1"/>
  <c r="M51" i="2" s="1"/>
  <c r="S27" i="3"/>
  <c r="T47" i="3" s="1"/>
  <c r="U47" i="3" s="1"/>
  <c r="X13" i="2"/>
  <c r="X13" i="3"/>
  <c r="X14" i="3" s="1"/>
  <c r="H13" i="2"/>
  <c r="O27" i="2"/>
  <c r="K26" i="3"/>
  <c r="E21" i="2"/>
  <c r="V28" i="2"/>
  <c r="T56" i="2" s="1"/>
  <c r="U56" i="2" s="1"/>
  <c r="AA29" i="2"/>
  <c r="N28" i="2"/>
  <c r="C21" i="2"/>
  <c r="K27" i="3"/>
  <c r="P13" i="3" l="1"/>
  <c r="P14" i="3" s="1"/>
  <c r="F29" i="5"/>
  <c r="D29" i="5"/>
  <c r="T49" i="3"/>
  <c r="U49" i="3" s="1"/>
  <c r="T43" i="3"/>
  <c r="U43" i="3" s="1"/>
  <c r="P27" i="3"/>
  <c r="L47" i="3"/>
  <c r="M47" i="3" s="1"/>
  <c r="X27" i="3"/>
  <c r="W26" i="3"/>
  <c r="X26" i="3" s="1"/>
  <c r="S45" i="3" s="1"/>
  <c r="U45" i="3" s="1"/>
  <c r="T44" i="3"/>
  <c r="U44" i="3" s="1"/>
  <c r="O26" i="3"/>
  <c r="P26" i="3" s="1"/>
  <c r="K45" i="3" s="1"/>
  <c r="M45" i="3" s="1"/>
  <c r="L44" i="3"/>
  <c r="M44" i="3" s="1"/>
  <c r="L43" i="3"/>
  <c r="M43" i="3" s="1"/>
  <c r="L46" i="3"/>
  <c r="M46" i="3" s="1"/>
  <c r="X27" i="2"/>
  <c r="AF14" i="2"/>
  <c r="AC29" i="2"/>
  <c r="AC35" i="2"/>
  <c r="H13" i="3"/>
  <c r="D47" i="3"/>
  <c r="E47" i="3" s="1"/>
  <c r="E46" i="3"/>
  <c r="D49" i="3"/>
  <c r="E49" i="3" s="1"/>
  <c r="D51" i="3"/>
  <c r="E51" i="3" s="1"/>
  <c r="L56" i="2"/>
  <c r="M56" i="2" s="1"/>
  <c r="L52" i="2"/>
  <c r="M52" i="2" s="1"/>
  <c r="L50" i="2"/>
  <c r="M50" i="2" s="1"/>
  <c r="P27" i="2"/>
  <c r="S26" i="2"/>
  <c r="C24" i="2"/>
  <c r="E24" i="2" s="1"/>
  <c r="AA33" i="2"/>
  <c r="AA37" i="2" s="1"/>
  <c r="C23" i="2"/>
  <c r="E23" i="2" s="1"/>
  <c r="V26" i="2"/>
  <c r="U47" i="2" s="1"/>
  <c r="L47" i="2"/>
  <c r="M47" i="2" s="1"/>
  <c r="K28" i="3"/>
  <c r="S28" i="3"/>
  <c r="C27" i="3"/>
  <c r="N28" i="3" l="1"/>
  <c r="O28" i="3" s="1"/>
  <c r="L49" i="3" s="1"/>
  <c r="M49" i="3" s="1"/>
  <c r="E27" i="3"/>
  <c r="E19" i="1"/>
  <c r="C19" i="1"/>
  <c r="F27" i="3"/>
  <c r="D55" i="3" s="1"/>
  <c r="E55" i="3" s="1"/>
  <c r="AE29" i="2"/>
  <c r="AF29" i="2" s="1"/>
  <c r="AA48" i="2" s="1"/>
  <c r="AC48" i="2" s="1"/>
  <c r="AB47" i="2"/>
  <c r="AB49" i="2"/>
  <c r="AC49" i="2" s="1"/>
  <c r="AB46" i="2"/>
  <c r="AC46" i="2" s="1"/>
  <c r="AB52" i="2"/>
  <c r="AC52" i="2" s="1"/>
  <c r="K30" i="3"/>
  <c r="K34" i="3" s="1"/>
  <c r="K38" i="3" s="1"/>
  <c r="K41" i="3" s="1"/>
  <c r="H19" i="1" s="1"/>
  <c r="S30" i="3"/>
  <c r="S34" i="3" s="1"/>
  <c r="S38" i="3" s="1"/>
  <c r="S41" i="3" s="1"/>
  <c r="F19" i="1" s="1"/>
  <c r="T50" i="3"/>
  <c r="U50" i="3" s="1"/>
  <c r="AC47" i="2"/>
  <c r="AC50" i="2"/>
  <c r="AC53" i="2"/>
  <c r="AA41" i="2"/>
  <c r="AA44" i="2" s="1"/>
  <c r="AC37" i="2"/>
  <c r="S30" i="2"/>
  <c r="U32" i="2" s="1"/>
  <c r="T55" i="2" s="1"/>
  <c r="T48" i="2"/>
  <c r="U48" i="2" s="1"/>
  <c r="K30" i="2"/>
  <c r="L48" i="2"/>
  <c r="M48" i="2" s="1"/>
  <c r="E28" i="2"/>
  <c r="D35" i="2"/>
  <c r="E35" i="2" s="1"/>
  <c r="D32" i="2"/>
  <c r="E32" i="2" s="1"/>
  <c r="D34" i="2"/>
  <c r="E34" i="2" s="1"/>
  <c r="D30" i="2"/>
  <c r="E30" i="2" s="1"/>
  <c r="D33" i="2"/>
  <c r="E33" i="2" s="1"/>
  <c r="D31" i="2"/>
  <c r="E31" i="2" s="1"/>
  <c r="C28" i="2"/>
  <c r="C31" i="3"/>
  <c r="C29" i="3"/>
  <c r="B21" i="1"/>
  <c r="O26" i="2"/>
  <c r="N30" i="2"/>
  <c r="O30" i="2" s="1"/>
  <c r="K34" i="2" s="1"/>
  <c r="M34" i="2" s="1"/>
  <c r="V30" i="2"/>
  <c r="W30" i="2" s="1"/>
  <c r="S34" i="2" s="1"/>
  <c r="U34" i="2" s="1"/>
  <c r="W26" i="2"/>
  <c r="L50" i="3" l="1"/>
  <c r="M50" i="3" s="1"/>
  <c r="G27" i="3"/>
  <c r="F29" i="3"/>
  <c r="G29" i="3" s="1"/>
  <c r="C33" i="3" s="1"/>
  <c r="E33" i="3" s="1"/>
  <c r="K35" i="2"/>
  <c r="K39" i="2" s="1"/>
  <c r="M32" i="2"/>
  <c r="S35" i="2"/>
  <c r="U35" i="2" s="1"/>
  <c r="T57" i="2" s="1"/>
  <c r="U57" i="2" s="1"/>
  <c r="M34" i="3"/>
  <c r="L55" i="3" s="1"/>
  <c r="M55" i="3" s="1"/>
  <c r="AB58" i="2"/>
  <c r="AC58" i="2" s="1"/>
  <c r="AB54" i="2"/>
  <c r="AC54" i="2" s="1"/>
  <c r="AB59" i="2"/>
  <c r="AC59" i="2" s="1"/>
  <c r="AB57" i="2"/>
  <c r="AC57" i="2" s="1"/>
  <c r="AB56" i="2"/>
  <c r="AC56" i="2" s="1"/>
  <c r="AB55" i="2"/>
  <c r="AC55" i="2" s="1"/>
  <c r="U34" i="3"/>
  <c r="L54" i="3"/>
  <c r="M54" i="3" s="1"/>
  <c r="H21" i="1"/>
  <c r="W32" i="2"/>
  <c r="T54" i="2" s="1"/>
  <c r="U54" i="2" s="1"/>
  <c r="U55" i="2"/>
  <c r="F21" i="1"/>
  <c r="E37" i="2"/>
  <c r="E31" i="3"/>
  <c r="C34" i="3"/>
  <c r="P26" i="2"/>
  <c r="X26" i="2"/>
  <c r="T59" i="2" l="1"/>
  <c r="U59" i="2" s="1"/>
  <c r="T60" i="2"/>
  <c r="U60" i="2" s="1"/>
  <c r="M35" i="2"/>
  <c r="L59" i="2" s="1"/>
  <c r="M59" i="2" s="1"/>
  <c r="T58" i="2"/>
  <c r="U58" i="2" s="1"/>
  <c r="L52" i="3"/>
  <c r="M52" i="3" s="1"/>
  <c r="S39" i="2"/>
  <c r="S42" i="2" s="1"/>
  <c r="S45" i="2" s="1"/>
  <c r="L56" i="3"/>
  <c r="M56" i="3" s="1"/>
  <c r="O32" i="2"/>
  <c r="L54" i="2" s="1"/>
  <c r="M54" i="2" s="1"/>
  <c r="AC61" i="2"/>
  <c r="AC62" i="2" s="1"/>
  <c r="L55" i="2"/>
  <c r="M55" i="2" s="1"/>
  <c r="L53" i="3"/>
  <c r="M53" i="3" s="1"/>
  <c r="L51" i="3"/>
  <c r="M51" i="3" s="1"/>
  <c r="T53" i="3"/>
  <c r="U53" i="3" s="1"/>
  <c r="T55" i="3"/>
  <c r="U55" i="3" s="1"/>
  <c r="T54" i="3"/>
  <c r="U54" i="3" s="1"/>
  <c r="T51" i="3"/>
  <c r="U51" i="3" s="1"/>
  <c r="T52" i="3"/>
  <c r="U52" i="3" s="1"/>
  <c r="T56" i="3"/>
  <c r="U56" i="3" s="1"/>
  <c r="G31" i="3"/>
  <c r="D53" i="3" s="1"/>
  <c r="E53" i="3" s="1"/>
  <c r="D54" i="3"/>
  <c r="E54" i="3" s="1"/>
  <c r="C38" i="3"/>
  <c r="C41" i="3" s="1"/>
  <c r="E34" i="3"/>
  <c r="K49" i="2"/>
  <c r="M49" i="2" s="1"/>
  <c r="S49" i="2"/>
  <c r="U49" i="2" s="1"/>
  <c r="U62" i="2" s="1"/>
  <c r="E38" i="2"/>
  <c r="K42" i="2"/>
  <c r="L57" i="2" l="1"/>
  <c r="M57" i="2" s="1"/>
  <c r="L60" i="2"/>
  <c r="M60" i="2" s="1"/>
  <c r="L58" i="2"/>
  <c r="M58" i="2" s="1"/>
  <c r="M58" i="3"/>
  <c r="M59" i="3" s="1"/>
  <c r="K19" i="1" s="1"/>
  <c r="U63" i="2"/>
  <c r="U58" i="3"/>
  <c r="U59" i="3" s="1"/>
  <c r="I19" i="1" s="1"/>
  <c r="C44" i="3"/>
  <c r="G19" i="1" s="1"/>
  <c r="G21" i="1" s="1"/>
  <c r="D59" i="3"/>
  <c r="E59" i="3" s="1"/>
  <c r="D57" i="3"/>
  <c r="E57" i="3" s="1"/>
  <c r="D58" i="3"/>
  <c r="E58" i="3" s="1"/>
  <c r="D56" i="3"/>
  <c r="E56" i="3" s="1"/>
  <c r="K45" i="2"/>
  <c r="M62" i="2"/>
  <c r="M63" i="2" l="1"/>
  <c r="E61" i="3"/>
  <c r="E62" i="3" s="1"/>
  <c r="J19" i="1" s="1"/>
</calcChain>
</file>

<file path=xl/sharedStrings.xml><?xml version="1.0" encoding="utf-8"?>
<sst xmlns="http://schemas.openxmlformats.org/spreadsheetml/2006/main" count="579" uniqueCount="142">
  <si>
    <t>Run 4</t>
  </si>
  <si>
    <t>Height - Left</t>
  </si>
  <si>
    <t>Height - Right</t>
  </si>
  <si>
    <t>Width - Left</t>
  </si>
  <si>
    <t>Width - Right</t>
  </si>
  <si>
    <t>D</t>
  </si>
  <si>
    <t>Pitch (Vertical Compound)</t>
  </si>
  <si>
    <t>Pivot to Fix CG</t>
  </si>
  <si>
    <t>Pivot to ref slot</t>
  </si>
  <si>
    <t>Span Loc (in)</t>
  </si>
  <si>
    <t>Chord Loc (in)</t>
  </si>
  <si>
    <t>X</t>
  </si>
  <si>
    <t>Y</t>
  </si>
  <si>
    <t>Z</t>
  </si>
  <si>
    <t>Angle</t>
  </si>
  <si>
    <t>Reference (from CAD)</t>
  </si>
  <si>
    <t>Left Wing</t>
  </si>
  <si>
    <t>Right Wing</t>
  </si>
  <si>
    <t>Left Winglet</t>
  </si>
  <si>
    <t>Right Winglet</t>
  </si>
  <si>
    <t>Attach Bolts (12)</t>
  </si>
  <si>
    <t>Ballast</t>
  </si>
  <si>
    <t>Position estimate from CAD, Mass measured</t>
  </si>
  <si>
    <t>Yaw (Bifilar)</t>
  </si>
  <si>
    <t>Centerbody</t>
  </si>
  <si>
    <t>f</t>
  </si>
  <si>
    <t>lb - in^2</t>
  </si>
  <si>
    <t>lb</t>
  </si>
  <si>
    <t>Test Article:</t>
  </si>
  <si>
    <t>Position and Inertia estimates from CAD, Mass measured</t>
  </si>
  <si>
    <t>Computed</t>
  </si>
  <si>
    <t>I</t>
  </si>
  <si>
    <t>L</t>
  </si>
  <si>
    <t>g</t>
  </si>
  <si>
    <t>grams</t>
  </si>
  <si>
    <t>Cycles</t>
  </si>
  <si>
    <t>m/sec2</t>
  </si>
  <si>
    <t>m</t>
  </si>
  <si>
    <t>xCG</t>
  </si>
  <si>
    <t>yCG</t>
  </si>
  <si>
    <t>Mass</t>
  </si>
  <si>
    <t>Note: Wing wieght was taken without winglets.</t>
  </si>
  <si>
    <t>Left</t>
  </si>
  <si>
    <t>Right</t>
  </si>
  <si>
    <t>Note: CG was determined via determining the balance point.</t>
  </si>
  <si>
    <t>zCG</t>
  </si>
  <si>
    <t>Ixx</t>
  </si>
  <si>
    <t>Iyy</t>
  </si>
  <si>
    <t>Izz</t>
  </si>
  <si>
    <t>Rigging Swing</t>
  </si>
  <si>
    <t>Total</t>
  </si>
  <si>
    <t>Body Inertia</t>
  </si>
  <si>
    <t>Pivot Inertia</t>
  </si>
  <si>
    <t>Run 1</t>
  </si>
  <si>
    <t>Run 2</t>
  </si>
  <si>
    <t>Run 3</t>
  </si>
  <si>
    <t>Chris</t>
  </si>
  <si>
    <t>Mean</t>
  </si>
  <si>
    <t>STD</t>
  </si>
  <si>
    <t>Frequency (Hz)</t>
  </si>
  <si>
    <t>Hz</t>
  </si>
  <si>
    <t>in2m</t>
  </si>
  <si>
    <t>m/in</t>
  </si>
  <si>
    <t>inch</t>
  </si>
  <si>
    <r>
      <t>kg m</t>
    </r>
    <r>
      <rPr>
        <vertAlign val="superscript"/>
        <sz val="10"/>
        <rFont val="Arial"/>
        <family val="2"/>
      </rPr>
      <t>2</t>
    </r>
  </si>
  <si>
    <t>Body</t>
  </si>
  <si>
    <t>Test Swing Data</t>
  </si>
  <si>
    <t>Time (s)</t>
  </si>
  <si>
    <t>Total Time (s)</t>
  </si>
  <si>
    <t>rCG</t>
  </si>
  <si>
    <t>N/A</t>
  </si>
  <si>
    <t>r</t>
  </si>
  <si>
    <t>𝜔</t>
  </si>
  <si>
    <t>Fixtures</t>
  </si>
  <si>
    <t>Total Inertia About Pivot</t>
  </si>
  <si>
    <t>Mass (g)</t>
  </si>
  <si>
    <t>Components</t>
  </si>
  <si>
    <t>Measures</t>
  </si>
  <si>
    <t>Rig - Beam</t>
  </si>
  <si>
    <t>Rig - Hoops</t>
  </si>
  <si>
    <t>Rig - TurnBuckles</t>
  </si>
  <si>
    <t>Rig Total</t>
  </si>
  <si>
    <t>Pitch (Horizontal Compound)</t>
  </si>
  <si>
    <t>Position of Body CG (inch)</t>
  </si>
  <si>
    <t>Inertia about Body CG (Kg-m^2)</t>
  </si>
  <si>
    <t>Top - Right Side</t>
  </si>
  <si>
    <t>Front - Right Side</t>
  </si>
  <si>
    <t>Winglet - Right Side</t>
  </si>
  <si>
    <t>Height</t>
  </si>
  <si>
    <t>Left Height</t>
  </si>
  <si>
    <t>Right Height</t>
  </si>
  <si>
    <t>xCG wrt Aft edge of fixture</t>
  </si>
  <si>
    <t>Position of Pivot</t>
  </si>
  <si>
    <t>xP</t>
  </si>
  <si>
    <t>zP</t>
  </si>
  <si>
    <t>yP</t>
  </si>
  <si>
    <t>Body Inertia About Pivot</t>
  </si>
  <si>
    <t>Measured</t>
  </si>
  <si>
    <t>CAD</t>
  </si>
  <si>
    <t>CG wrt Top edge of fixture</t>
  </si>
  <si>
    <t>Body Inertia About Body CG</t>
  </si>
  <si>
    <t>Roll (Horizontal Compound)</t>
  </si>
  <si>
    <t>Roll (Bifilar)</t>
  </si>
  <si>
    <t>Left Body Flap</t>
  </si>
  <si>
    <t>Right Body Flap</t>
  </si>
  <si>
    <t>Summary based on Complete Mass Property Test</t>
  </si>
  <si>
    <t>Avionics Battery</t>
  </si>
  <si>
    <t>Propulsion Battery</t>
  </si>
  <si>
    <t>mass rig</t>
  </si>
  <si>
    <t>y rig</t>
  </si>
  <si>
    <t>I rig</t>
  </si>
  <si>
    <t>x fix</t>
  </si>
  <si>
    <t>y fix</t>
  </si>
  <si>
    <t>damp</t>
  </si>
  <si>
    <t>t</t>
  </si>
  <si>
    <t>n</t>
  </si>
  <si>
    <t>rad/s</t>
  </si>
  <si>
    <t>meters</t>
  </si>
  <si>
    <t>Kg</t>
  </si>
  <si>
    <t>Kg m2</t>
  </si>
  <si>
    <t>mass Fix</t>
  </si>
  <si>
    <t>I body fix</t>
  </si>
  <si>
    <t>mass B</t>
  </si>
  <si>
    <t>x B</t>
  </si>
  <si>
    <t>y B</t>
  </si>
  <si>
    <t>Inertia Uncertainty (%)</t>
  </si>
  <si>
    <t>Width - Top</t>
  </si>
  <si>
    <t>Width - Bottom</t>
  </si>
  <si>
    <t>Left Winglet (SN 003)</t>
  </si>
  <si>
    <t>Right Winglet (SN 006)</t>
  </si>
  <si>
    <t>Avionics Cover</t>
  </si>
  <si>
    <t>CG wrt CL "23.75" hole</t>
  </si>
  <si>
    <t>Left Wing (WS3 - Left)</t>
  </si>
  <si>
    <t>Right Wing (WS3 - Right)</t>
  </si>
  <si>
    <t>WS4-Left</t>
  </si>
  <si>
    <t>WS4-Right</t>
  </si>
  <si>
    <t>s</t>
  </si>
  <si>
    <t>mAEWing1: CB3</t>
  </si>
  <si>
    <t>CB3</t>
  </si>
  <si>
    <t>Kate</t>
  </si>
  <si>
    <t>mAEWing1: CB3 + WS4</t>
  </si>
  <si>
    <t>mAEWing1 Geri Mass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</si>
</sst>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%"/>
    <numFmt numFmtId="167" formatCode="0.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5" borderId="0" xfId="0" applyFill="1" applyBorder="1"/>
    <xf numFmtId="0" fontId="0" fillId="3" borderId="20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0" borderId="7" xfId="0" applyBorder="1"/>
    <xf numFmtId="0" fontId="0" fillId="0" borderId="12" xfId="0" applyBorder="1"/>
    <xf numFmtId="0" fontId="2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164" fontId="0" fillId="0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9" xfId="0" applyFill="1" applyBorder="1"/>
    <xf numFmtId="0" fontId="0" fillId="2" borderId="9" xfId="0" applyFill="1" applyBorder="1"/>
    <xf numFmtId="0" fontId="0" fillId="5" borderId="9" xfId="0" applyFill="1" applyBorder="1" applyAlignment="1">
      <alignment horizontal="left"/>
    </xf>
    <xf numFmtId="0" fontId="0" fillId="2" borderId="10" xfId="0" applyFill="1" applyBorder="1"/>
    <xf numFmtId="164" fontId="0" fillId="0" borderId="10" xfId="0" applyNumberFormat="1" applyFill="1" applyBorder="1" applyAlignment="1">
      <alignment horizontal="center"/>
    </xf>
    <xf numFmtId="0" fontId="0" fillId="3" borderId="0" xfId="0" applyFill="1"/>
    <xf numFmtId="0" fontId="1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ill="1" applyBorder="1"/>
    <xf numFmtId="0" fontId="0" fillId="0" borderId="10" xfId="0" applyFill="1" applyBorder="1"/>
    <xf numFmtId="0" fontId="0" fillId="3" borderId="0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1" fontId="0" fillId="5" borderId="0" xfId="0" applyNumberFormat="1" applyFill="1" applyBorder="1"/>
    <xf numFmtId="0" fontId="0" fillId="5" borderId="4" xfId="0" applyFill="1" applyBorder="1"/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0" fillId="5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6" fillId="5" borderId="9" xfId="0" applyFont="1" applyFill="1" applyBorder="1"/>
    <xf numFmtId="2" fontId="0" fillId="3" borderId="25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4" xfId="0" applyFont="1" applyBorder="1"/>
    <xf numFmtId="0" fontId="0" fillId="4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9" xfId="0" quotePrefix="1" applyFill="1" applyBorder="1" applyAlignment="1">
      <alignment horizontal="left"/>
    </xf>
    <xf numFmtId="0" fontId="0" fillId="0" borderId="13" xfId="0" applyFont="1" applyBorder="1"/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164" fontId="0" fillId="0" borderId="0" xfId="0" applyNumberFormat="1"/>
    <xf numFmtId="11" fontId="0" fillId="0" borderId="0" xfId="0" applyNumberFormat="1"/>
    <xf numFmtId="2" fontId="0" fillId="5" borderId="0" xfId="0" applyNumberFormat="1" applyFill="1" applyBorder="1"/>
    <xf numFmtId="2" fontId="0" fillId="5" borderId="9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5" borderId="15" xfId="0" applyFill="1" applyBorder="1"/>
    <xf numFmtId="0" fontId="0" fillId="3" borderId="16" xfId="0" applyFill="1" applyBorder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5" borderId="5" xfId="0" applyNumberFormat="1" applyFill="1" applyBorder="1"/>
    <xf numFmtId="2" fontId="0" fillId="3" borderId="9" xfId="0" applyNumberFormat="1" applyFill="1" applyBorder="1"/>
    <xf numFmtId="0" fontId="0" fillId="0" borderId="13" xfId="0" quotePrefix="1" applyFont="1" applyBorder="1"/>
    <xf numFmtId="0" fontId="0" fillId="5" borderId="16" xfId="0" applyFill="1" applyBorder="1"/>
    <xf numFmtId="0" fontId="0" fillId="0" borderId="15" xfId="0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6" fillId="5" borderId="8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2" fontId="0" fillId="5" borderId="10" xfId="0" applyNumberFormat="1" applyFill="1" applyBorder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10" fontId="0" fillId="0" borderId="3" xfId="1" applyNumberFormat="1" applyFont="1" applyFill="1" applyBorder="1" applyAlignment="1">
      <alignment horizontal="center"/>
    </xf>
    <xf numFmtId="166" fontId="0" fillId="0" borderId="5" xfId="1" applyNumberFormat="1" applyFont="1" applyFill="1" applyBorder="1" applyAlignment="1">
      <alignment horizontal="center"/>
    </xf>
    <xf numFmtId="167" fontId="0" fillId="0" borderId="5" xfId="1" applyNumberFormat="1" applyFont="1" applyFill="1" applyBorder="1" applyAlignment="1">
      <alignment horizontal="center"/>
    </xf>
    <xf numFmtId="10" fontId="0" fillId="0" borderId="0" xfId="1" applyNumberFormat="1" applyFont="1"/>
    <xf numFmtId="2" fontId="0" fillId="0" borderId="2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2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  <xf numFmtId="10" fontId="0" fillId="0" borderId="12" xfId="1" applyNumberFormat="1" applyFont="1" applyFill="1" applyBorder="1" applyAlignment="1">
      <alignment horizontal="right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2" fontId="0" fillId="0" borderId="0" xfId="0" applyNumberFormat="1"/>
    <xf numFmtId="2" fontId="0" fillId="3" borderId="2" xfId="0" applyNumberFormat="1" applyFill="1" applyBorder="1"/>
    <xf numFmtId="10" fontId="0" fillId="0" borderId="0" xfId="1" applyNumberFormat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25</xdr:row>
      <xdr:rowOff>142875</xdr:rowOff>
    </xdr:from>
    <xdr:ext cx="2771775" cy="329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𝑇𝑜𝑡</m:t>
                      </m:r>
                    </m:sub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𝑅𝑖𝑔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𝐹𝑖𝑥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r>
                <a:rPr lang="en-US" sz="18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𝑇𝐴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/>
                <a:t> 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114300</xdr:colOff>
      <xdr:row>28</xdr:row>
      <xdr:rowOff>95250</xdr:rowOff>
    </xdr:from>
    <xdr:ext cx="2771775" cy="314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𝐵+𝑚𝑟^2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352425</xdr:colOff>
      <xdr:row>4</xdr:row>
      <xdr:rowOff>19050</xdr:rowOff>
    </xdr:from>
    <xdr:ext cx="2771775" cy="300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𝑅𝑖𝑔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𝐹𝑖𝑥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𝑇𝐴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𝑚_𝑇𝑜𝑡</a:t>
              </a:r>
              <a:r>
                <a:rPr lang="en-US" sz="1800" b="0" i="0">
                  <a:latin typeface="Cambria Math" panose="02040503050406030204" pitchFamily="18" charset="0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266700</xdr:colOff>
      <xdr:row>6</xdr:row>
      <xdr:rowOff>104775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𝑥_𝑅𝑖𝑔+〖𝑚_𝐹𝑖𝑥 𝑥〗_𝐹𝑖𝑥+〖𝑚_𝑇𝐴 𝑥〗_𝑇𝐴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285750</xdr:colOff>
      <xdr:row>10</xdr:row>
      <xdr:rowOff>38100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_𝑅𝑖𝑔+〖𝑚_𝐹𝑖𝑥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〗_𝐹𝑖𝑥+〖𝑚_𝑇𝐴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25</xdr:row>
      <xdr:rowOff>9525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81350" y="49625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81350" y="49625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𝑚_𝑇𝑜𝑡 𝑔𝑟_𝑇𝑜𝑡)/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28</xdr:col>
      <xdr:colOff>247650</xdr:colOff>
      <xdr:row>39</xdr:row>
      <xdr:rowOff>9525</xdr:rowOff>
    </xdr:from>
    <xdr:ext cx="2057400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7830800" y="7667625"/>
              <a:ext cx="2057400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7830800" y="7667625"/>
              <a:ext cx="2057400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𝑚_𝑇𝑜𝑡 𝑔𝐷^2)/(〖</a:t>
              </a:r>
              <a:r>
                <a:rPr lang="en-US" sz="1800" b="0" i="0">
                  <a:latin typeface="Cambria Math" panose="02040503050406030204" pitchFamily="18" charset="0"/>
                </a:rPr>
                <a:t>4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𝐿)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12</xdr:col>
      <xdr:colOff>114300</xdr:colOff>
      <xdr:row>39</xdr:row>
      <xdr:rowOff>161925</xdr:rowOff>
    </xdr:from>
    <xdr:ext cx="202882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343900" y="7820025"/>
              <a:ext cx="202882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343900" y="7820025"/>
              <a:ext cx="202882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𝑚_𝑇𝑜𝑡 𝑔𝑟_𝑇𝑜𝑡)/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447675</xdr:colOff>
      <xdr:row>40</xdr:row>
      <xdr:rowOff>47625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2506325" y="78962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2506325" y="78962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𝑚_𝑇𝑜𝑡 𝑔𝑟_𝑇𝑜𝑡)/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542925</xdr:colOff>
      <xdr:row>38</xdr:row>
      <xdr:rowOff>76200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28850" y="77057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28850" y="77057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𝑚_𝑇𝑜𝑡 𝑔𝑟_𝑇𝑜𝑡)/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workbookViewId="0">
      <selection activeCell="N15" sqref="N15"/>
    </sheetView>
  </sheetViews>
  <sheetFormatPr defaultColWidth="8.85546875" defaultRowHeight="15" x14ac:dyDescent="0.25"/>
  <cols>
    <col min="1" max="1" width="17.85546875" customWidth="1"/>
    <col min="2" max="7" width="12" customWidth="1"/>
    <col min="8" max="8" width="13.5703125" customWidth="1"/>
  </cols>
  <sheetData>
    <row r="2" spans="1:11" x14ac:dyDescent="0.25">
      <c r="J2">
        <v>3417.1718982090001</v>
      </c>
    </row>
    <row r="3" spans="1:11" ht="15.75" thickBot="1" x14ac:dyDescent="0.3">
      <c r="A3" s="167" t="s">
        <v>105</v>
      </c>
    </row>
    <row r="4" spans="1:11" ht="15.75" thickBot="1" x14ac:dyDescent="0.3">
      <c r="A4" s="37" t="s">
        <v>141</v>
      </c>
      <c r="B4" s="4"/>
      <c r="C4" s="192" t="s">
        <v>83</v>
      </c>
      <c r="D4" s="193"/>
      <c r="E4" s="194"/>
      <c r="F4" s="192" t="s">
        <v>84</v>
      </c>
      <c r="G4" s="193"/>
      <c r="H4" s="194"/>
      <c r="I4" s="192" t="s">
        <v>125</v>
      </c>
      <c r="J4" s="193"/>
      <c r="K4" s="194"/>
    </row>
    <row r="5" spans="1:11" ht="15.75" thickBot="1" x14ac:dyDescent="0.3">
      <c r="A5" s="72"/>
      <c r="B5" s="35" t="s">
        <v>75</v>
      </c>
      <c r="C5" s="19" t="s">
        <v>38</v>
      </c>
      <c r="D5" s="14" t="s">
        <v>39</v>
      </c>
      <c r="E5" s="20" t="s">
        <v>45</v>
      </c>
      <c r="F5" s="19" t="s">
        <v>46</v>
      </c>
      <c r="G5" s="14" t="s">
        <v>47</v>
      </c>
      <c r="H5" s="20" t="s">
        <v>48</v>
      </c>
      <c r="I5" s="176" t="s">
        <v>46</v>
      </c>
      <c r="J5" s="177" t="s">
        <v>47</v>
      </c>
      <c r="K5" s="178" t="s">
        <v>48</v>
      </c>
    </row>
    <row r="6" spans="1:11" x14ac:dyDescent="0.25">
      <c r="A6" s="100" t="s">
        <v>24</v>
      </c>
      <c r="B6" s="214">
        <f>SUM('Components and Fixtures'!C16:C22)</f>
        <v>3317.2099999999991</v>
      </c>
      <c r="C6" s="108">
        <f>SUMPRODUCT('Components and Fixtures'!$C16:$C22,'Components and Fixtures'!D16:D22)/'Test Summary'!$B6</f>
        <v>-19.397197322322981</v>
      </c>
      <c r="D6" s="109">
        <f>SUMPRODUCT('Components and Fixtures'!$C16:$C22,'Components and Fixtures'!E16:E22)/'Test Summary'!$B6</f>
        <v>-8.1794290985496843E-2</v>
      </c>
      <c r="E6" s="110">
        <f>SUMPRODUCT('Components and Fixtures'!$C16:$C22,'Components and Fixtures'!F16:F22)/'Test Summary'!$B6</f>
        <v>-0.4767277318650312</v>
      </c>
      <c r="F6" s="105"/>
      <c r="G6" s="105"/>
      <c r="H6" s="106"/>
      <c r="I6" s="179"/>
      <c r="J6" s="179"/>
      <c r="K6" s="106"/>
    </row>
    <row r="7" spans="1:11" x14ac:dyDescent="0.25">
      <c r="A7" s="73" t="s">
        <v>130</v>
      </c>
      <c r="B7" s="108" t="str">
        <f>"["&amp;'Components and Fixtures'!C17&amp;"]"</f>
        <v>[52.43]</v>
      </c>
      <c r="C7" s="108">
        <f>'Components and Fixtures'!D17</f>
        <v>-9.0624380999999996</v>
      </c>
      <c r="D7" s="109">
        <f>'Components and Fixtures'!E17</f>
        <v>0</v>
      </c>
      <c r="E7" s="110">
        <f>'Components and Fixtures'!F17</f>
        <v>-2.0267940000000002</v>
      </c>
      <c r="F7" s="164"/>
      <c r="G7" s="164"/>
      <c r="H7" s="165"/>
      <c r="I7" s="189"/>
      <c r="J7" s="189"/>
      <c r="K7" s="165"/>
    </row>
    <row r="8" spans="1:11" x14ac:dyDescent="0.25">
      <c r="A8" s="73" t="s">
        <v>21</v>
      </c>
      <c r="B8" s="108" t="str">
        <f>"["&amp;'Components and Fixtures'!C18&amp;"]"</f>
        <v>[0]</v>
      </c>
      <c r="C8" s="108">
        <f>'Components and Fixtures'!D18</f>
        <v>-4.62</v>
      </c>
      <c r="D8" s="109">
        <f>'Components and Fixtures'!E18</f>
        <v>0</v>
      </c>
      <c r="E8" s="110">
        <f>'Components and Fixtures'!F18</f>
        <v>-0.61350000000000005</v>
      </c>
      <c r="F8" s="164"/>
      <c r="G8" s="164"/>
      <c r="H8" s="165"/>
      <c r="I8" s="164"/>
      <c r="J8" s="164"/>
      <c r="K8" s="165"/>
    </row>
    <row r="9" spans="1:11" x14ac:dyDescent="0.25">
      <c r="A9" s="73" t="s">
        <v>106</v>
      </c>
      <c r="B9" s="108" t="str">
        <f>"["&amp;'Components and Fixtures'!C19&amp;"]"</f>
        <v>[70.99]</v>
      </c>
      <c r="C9" s="108">
        <f>'Components and Fixtures'!D19</f>
        <v>-20.625</v>
      </c>
      <c r="D9" s="109">
        <f>'Components and Fixtures'!E19</f>
        <v>-3.5</v>
      </c>
      <c r="E9" s="110">
        <f>'Components and Fixtures'!F19</f>
        <v>-0.85</v>
      </c>
      <c r="F9" s="164"/>
      <c r="G9" s="164"/>
      <c r="H9" s="165"/>
      <c r="I9" s="164"/>
      <c r="J9" s="164"/>
      <c r="K9" s="165"/>
    </row>
    <row r="10" spans="1:11" x14ac:dyDescent="0.25">
      <c r="A10" s="73" t="s">
        <v>107</v>
      </c>
      <c r="B10" s="108" t="str">
        <f>"["&amp;'Components and Fixtures'!C20&amp;"]"</f>
        <v>[548.23]</v>
      </c>
      <c r="C10" s="108">
        <f>'Components and Fixtures'!D20</f>
        <v>-19.28</v>
      </c>
      <c r="D10" s="109">
        <f>'Components and Fixtures'!E20</f>
        <v>0</v>
      </c>
      <c r="E10" s="110">
        <f>'Components and Fixtures'!F20</f>
        <v>-0.85099999999999998</v>
      </c>
      <c r="F10" s="164"/>
      <c r="G10" s="164"/>
      <c r="H10" s="165"/>
      <c r="I10" s="164"/>
      <c r="J10" s="164"/>
      <c r="K10" s="165"/>
    </row>
    <row r="11" spans="1:11" x14ac:dyDescent="0.25">
      <c r="A11" s="73" t="s">
        <v>103</v>
      </c>
      <c r="B11" s="108" t="str">
        <f>"["&amp;'Components and Fixtures'!C21&amp;"]"</f>
        <v>[43.99]</v>
      </c>
      <c r="C11" s="108">
        <f>'Components and Fixtures'!D21</f>
        <v>-28.06</v>
      </c>
      <c r="D11" s="109">
        <f>'Components and Fixtures'!E21</f>
        <v>-7.5209999999999999</v>
      </c>
      <c r="E11" s="110">
        <f>'Components and Fixtures'!F21</f>
        <v>0.14099999999999999</v>
      </c>
      <c r="F11" s="164"/>
      <c r="G11" s="164"/>
      <c r="H11" s="165"/>
      <c r="I11" s="164"/>
      <c r="J11" s="164"/>
      <c r="K11" s="165"/>
    </row>
    <row r="12" spans="1:11" x14ac:dyDescent="0.25">
      <c r="A12" s="73" t="s">
        <v>104</v>
      </c>
      <c r="B12" s="108" t="str">
        <f>"["&amp;'Components and Fixtures'!C22&amp;"]"</f>
        <v>[40.95]</v>
      </c>
      <c r="C12" s="108">
        <f>'Components and Fixtures'!D22</f>
        <v>-28.06</v>
      </c>
      <c r="D12" s="109">
        <f>'Components and Fixtures'!E22</f>
        <v>7.5209999999999999</v>
      </c>
      <c r="E12" s="110">
        <f>'Components and Fixtures'!F22</f>
        <v>0.14099999999999999</v>
      </c>
      <c r="F12" s="164"/>
      <c r="G12" s="164"/>
      <c r="H12" s="165"/>
      <c r="I12" s="164"/>
      <c r="J12" s="164"/>
      <c r="K12" s="165"/>
    </row>
    <row r="13" spans="1:11" x14ac:dyDescent="0.25">
      <c r="A13" s="73" t="s">
        <v>16</v>
      </c>
      <c r="B13" s="108">
        <f>'Components and Fixtures'!C23</f>
        <v>1392.67</v>
      </c>
      <c r="C13" s="108">
        <f>'Components and Fixtures'!D23</f>
        <v>-28.495728333741713</v>
      </c>
      <c r="D13" s="109">
        <f>'Components and Fixtures'!E23</f>
        <v>-31.990570169987553</v>
      </c>
      <c r="E13" s="110"/>
      <c r="F13" s="111"/>
      <c r="G13" s="111"/>
      <c r="H13" s="112"/>
      <c r="I13" s="111"/>
      <c r="J13" s="111"/>
      <c r="K13" s="112"/>
    </row>
    <row r="14" spans="1:11" x14ac:dyDescent="0.25">
      <c r="A14" s="73" t="s">
        <v>17</v>
      </c>
      <c r="B14" s="108">
        <f>'Components and Fixtures'!C24</f>
        <v>1381.11</v>
      </c>
      <c r="C14" s="108">
        <f>'Components and Fixtures'!D24</f>
        <v>-28.495728333741713</v>
      </c>
      <c r="D14" s="109">
        <f>'Components and Fixtures'!E24</f>
        <v>31.990570169987553</v>
      </c>
      <c r="E14" s="110"/>
      <c r="F14" s="111"/>
      <c r="G14" s="111"/>
      <c r="H14" s="112"/>
      <c r="I14" s="111"/>
      <c r="J14" s="111"/>
      <c r="K14" s="112"/>
    </row>
    <row r="15" spans="1:11" x14ac:dyDescent="0.25">
      <c r="A15" s="73" t="s">
        <v>18</v>
      </c>
      <c r="B15" s="108">
        <f>'Components and Fixtures'!C25</f>
        <v>41.84</v>
      </c>
      <c r="C15" s="108">
        <f>'Components and Fixtures'!D25</f>
        <v>-42.448678000000001</v>
      </c>
      <c r="D15" s="109">
        <f>'Components and Fixtures'!E25</f>
        <v>-60.25</v>
      </c>
      <c r="E15" s="110">
        <f>'Components and Fixtures'!F25</f>
        <v>-0.2122</v>
      </c>
      <c r="F15" s="164"/>
      <c r="G15" s="164"/>
      <c r="H15" s="165"/>
      <c r="I15" s="111"/>
      <c r="J15" s="111"/>
      <c r="K15" s="112"/>
    </row>
    <row r="16" spans="1:11" x14ac:dyDescent="0.25">
      <c r="A16" s="73" t="s">
        <v>19</v>
      </c>
      <c r="B16" s="108">
        <f>'Components and Fixtures'!C26</f>
        <v>40.340000000000003</v>
      </c>
      <c r="C16" s="108">
        <f>'Components and Fixtures'!D26</f>
        <v>-42.448678000000001</v>
      </c>
      <c r="D16" s="109">
        <f>'Components and Fixtures'!E26</f>
        <v>60.25</v>
      </c>
      <c r="E16" s="110">
        <f>'Components and Fixtures'!F26</f>
        <v>-0.2122</v>
      </c>
      <c r="F16" s="164"/>
      <c r="G16" s="164"/>
      <c r="H16" s="165"/>
      <c r="I16" s="111"/>
      <c r="J16" s="111"/>
      <c r="K16" s="112"/>
    </row>
    <row r="17" spans="1:11" x14ac:dyDescent="0.25">
      <c r="A17" s="73" t="s">
        <v>20</v>
      </c>
      <c r="B17" s="108">
        <f>'Components and Fixtures'!C27</f>
        <v>67.81</v>
      </c>
      <c r="C17" s="108">
        <f>'Components and Fixtures'!D27</f>
        <v>-20.216666666666665</v>
      </c>
      <c r="D17" s="109">
        <f>'Components and Fixtures'!E27</f>
        <v>0</v>
      </c>
      <c r="E17" s="110">
        <f>'Components and Fixtures'!F27</f>
        <v>-0.15666666666666659</v>
      </c>
      <c r="F17" s="111"/>
      <c r="G17" s="111"/>
      <c r="H17" s="112"/>
      <c r="I17" s="111"/>
      <c r="J17" s="111"/>
      <c r="K17" s="112"/>
    </row>
    <row r="18" spans="1:11" ht="15.75" thickBot="1" x14ac:dyDescent="0.3">
      <c r="A18" s="73"/>
      <c r="B18" s="107"/>
      <c r="C18" s="168"/>
      <c r="D18" s="169"/>
      <c r="E18" s="170"/>
      <c r="F18" s="111"/>
      <c r="G18" s="111"/>
      <c r="H18" s="112"/>
      <c r="I18" s="111"/>
      <c r="J18" s="111"/>
      <c r="K18" s="112"/>
    </row>
    <row r="19" spans="1:11" ht="15.75" thickBot="1" x14ac:dyDescent="0.3">
      <c r="A19" s="104" t="s">
        <v>50</v>
      </c>
      <c r="B19" s="113">
        <f>SUM(B6:B18)</f>
        <v>6240.98</v>
      </c>
      <c r="C19" s="114">
        <f>'Components and Fixtures'!D29</f>
        <v>-23.75159547875494</v>
      </c>
      <c r="D19" s="115">
        <f>'Components and Fixtures'!E29</f>
        <v>0</v>
      </c>
      <c r="E19" s="116">
        <f>'Components and Fixtures'!F29</f>
        <v>-0.30269921935337069</v>
      </c>
      <c r="F19" s="117">
        <f>'Aircraft Test'!S41</f>
        <v>2.7389857980775449</v>
      </c>
      <c r="G19" s="117">
        <f>'Aircraft Test'!C44</f>
        <v>0.46178047200202799</v>
      </c>
      <c r="H19" s="118">
        <f>'Aircraft Test'!K41</f>
        <v>3.1738137781946625</v>
      </c>
      <c r="I19" s="180">
        <f>'Aircraft Test'!U59</f>
        <v>1.5061364779159212E-2</v>
      </c>
      <c r="J19" s="180">
        <f>'Aircraft Test'!E62</f>
        <v>1.7270339141311476E-2</v>
      </c>
      <c r="K19" s="181">
        <f>'Aircraft Test'!M59</f>
        <v>1.0655459365549562E-2</v>
      </c>
    </row>
    <row r="20" spans="1:11" ht="15.75" thickBot="1" x14ac:dyDescent="0.3">
      <c r="B20" s="166"/>
    </row>
    <row r="21" spans="1:11" ht="15.75" thickBot="1" x14ac:dyDescent="0.3">
      <c r="A21" s="26" t="s">
        <v>50</v>
      </c>
      <c r="B21" s="122">
        <f>B19/1000*2.20462</f>
        <v>13.758989327599998</v>
      </c>
      <c r="F21" s="119">
        <f>F19*$J$2</f>
        <v>9359.5852987841372</v>
      </c>
      <c r="G21" s="120">
        <f>G19*$J$2</f>
        <v>1577.9832520670179</v>
      </c>
      <c r="H21" s="121">
        <f>H19*$J$2</f>
        <v>10845.467252995333</v>
      </c>
    </row>
    <row r="22" spans="1:11" x14ac:dyDescent="0.25">
      <c r="B22" t="s">
        <v>27</v>
      </c>
      <c r="F22" t="s">
        <v>26</v>
      </c>
      <c r="G22" t="s">
        <v>26</v>
      </c>
      <c r="H22" t="s">
        <v>26</v>
      </c>
    </row>
  </sheetData>
  <mergeCells count="3">
    <mergeCell ref="C4:E4"/>
    <mergeCell ref="F4:H4"/>
    <mergeCell ref="I4:K4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C13" sqref="C13"/>
    </sheetView>
  </sheetViews>
  <sheetFormatPr defaultColWidth="8.85546875" defaultRowHeight="15" x14ac:dyDescent="0.25"/>
  <cols>
    <col min="1" max="1" width="12" customWidth="1"/>
    <col min="2" max="2" width="8.28515625" bestFit="1" customWidth="1"/>
    <col min="3" max="3" width="12.140625" bestFit="1" customWidth="1"/>
    <col min="4" max="4" width="13.28515625" bestFit="1" customWidth="1"/>
  </cols>
  <sheetData>
    <row r="2" spans="1:10" x14ac:dyDescent="0.25">
      <c r="A2" t="s">
        <v>41</v>
      </c>
    </row>
    <row r="3" spans="1:10" x14ac:dyDescent="0.25">
      <c r="A3" t="s">
        <v>44</v>
      </c>
    </row>
    <row r="4" spans="1:10" ht="15.75" thickBot="1" x14ac:dyDescent="0.3"/>
    <row r="5" spans="1:10" ht="15.75" thickBot="1" x14ac:dyDescent="0.3">
      <c r="A5" s="1"/>
      <c r="B5" s="56" t="s">
        <v>75</v>
      </c>
      <c r="C5" s="16" t="s">
        <v>9</v>
      </c>
      <c r="D5" s="57" t="s">
        <v>10</v>
      </c>
      <c r="F5" s="1"/>
      <c r="G5" s="192" t="s">
        <v>15</v>
      </c>
      <c r="H5" s="193"/>
      <c r="I5" s="193"/>
      <c r="J5" s="194"/>
    </row>
    <row r="6" spans="1:10" ht="15.75" thickBot="1" x14ac:dyDescent="0.3">
      <c r="A6" s="27" t="s">
        <v>134</v>
      </c>
      <c r="B6" s="77">
        <v>1392.67</v>
      </c>
      <c r="C6" s="77">
        <v>28.375</v>
      </c>
      <c r="D6" s="96">
        <v>5.1875</v>
      </c>
      <c r="F6" s="11"/>
      <c r="G6" s="12" t="s">
        <v>11</v>
      </c>
      <c r="H6" s="13" t="s">
        <v>12</v>
      </c>
      <c r="I6" s="13" t="s">
        <v>13</v>
      </c>
      <c r="J6" s="15" t="s">
        <v>14</v>
      </c>
    </row>
    <row r="7" spans="1:10" ht="15.75" thickBot="1" x14ac:dyDescent="0.3">
      <c r="A7" s="99" t="s">
        <v>135</v>
      </c>
      <c r="B7" s="97">
        <v>1381.11</v>
      </c>
      <c r="C7" s="97">
        <v>28.375</v>
      </c>
      <c r="D7" s="98">
        <v>5.1875</v>
      </c>
      <c r="F7" s="27" t="s">
        <v>42</v>
      </c>
      <c r="G7" s="77">
        <f>-13.0565</f>
        <v>-13.0565</v>
      </c>
      <c r="H7" s="77">
        <f>-15.25/2</f>
        <v>-7.625</v>
      </c>
      <c r="I7" s="77">
        <v>-0.03</v>
      </c>
      <c r="J7" s="96">
        <v>22</v>
      </c>
    </row>
    <row r="8" spans="1:10" ht="15.75" customHeight="1" thickBot="1" x14ac:dyDescent="0.3">
      <c r="F8" s="99" t="s">
        <v>43</v>
      </c>
      <c r="G8" s="97">
        <f>G7</f>
        <v>-13.0565</v>
      </c>
      <c r="H8" s="97">
        <f>-H7</f>
        <v>7.625</v>
      </c>
      <c r="I8" s="97">
        <f>I7</f>
        <v>-0.03</v>
      </c>
      <c r="J8" s="98">
        <v>22</v>
      </c>
    </row>
    <row r="9" spans="1:10" ht="15.75" customHeight="1" x14ac:dyDescent="0.25"/>
    <row r="10" spans="1:10" ht="15.75" thickBot="1" x14ac:dyDescent="0.3"/>
    <row r="11" spans="1:10" ht="15.75" thickBot="1" x14ac:dyDescent="0.3">
      <c r="A11" s="1"/>
      <c r="B11" s="4"/>
      <c r="C11" s="192" t="s">
        <v>83</v>
      </c>
      <c r="D11" s="193"/>
      <c r="E11" s="194"/>
    </row>
    <row r="12" spans="1:10" ht="15.75" thickBot="1" x14ac:dyDescent="0.3">
      <c r="A12" s="72" t="s">
        <v>65</v>
      </c>
      <c r="B12" s="26" t="s">
        <v>75</v>
      </c>
      <c r="C12" s="12" t="s">
        <v>38</v>
      </c>
      <c r="D12" s="13" t="s">
        <v>39</v>
      </c>
      <c r="E12" s="15" t="s">
        <v>45</v>
      </c>
    </row>
    <row r="13" spans="1:10" x14ac:dyDescent="0.25">
      <c r="A13" s="73" t="s">
        <v>134</v>
      </c>
      <c r="B13" s="40">
        <f>B6</f>
        <v>1392.67</v>
      </c>
      <c r="C13" s="125">
        <f>G7-C6*SIN(J7*PI()/180)-D6*COS(J7*PI()/180)</f>
        <v>-28.495728333741713</v>
      </c>
      <c r="D13" s="125">
        <f>H7-C6*COS(J7*PI()/180)+D6*SIN(J7*PI()/180)</f>
        <v>-31.990570169987553</v>
      </c>
      <c r="E13" s="96" t="s">
        <v>70</v>
      </c>
    </row>
    <row r="14" spans="1:10" ht="15.75" thickBot="1" x14ac:dyDescent="0.3">
      <c r="A14" s="74" t="s">
        <v>135</v>
      </c>
      <c r="B14" s="66">
        <f>B7</f>
        <v>1381.11</v>
      </c>
      <c r="C14" s="126">
        <f>G8-C7*SIN(J8*PI()/180)-D7*COS(J8*PI()/180)</f>
        <v>-28.495728333741713</v>
      </c>
      <c r="D14" s="126">
        <f>H8+C7*COS(J8*PI()/180)-D7*SIN(J8*PI()/180)</f>
        <v>31.990570169987553</v>
      </c>
      <c r="E14" s="98" t="s">
        <v>70</v>
      </c>
    </row>
    <row r="16" spans="1:10" x14ac:dyDescent="0.25">
      <c r="D16" s="187"/>
    </row>
    <row r="19" spans="3:4" x14ac:dyDescent="0.25">
      <c r="C19" s="187"/>
      <c r="D19" s="187"/>
    </row>
  </sheetData>
  <mergeCells count="2">
    <mergeCell ref="C11:E11"/>
    <mergeCell ref="G5:J5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13" workbookViewId="0">
      <selection activeCell="C16" sqref="C16:C22"/>
    </sheetView>
  </sheetViews>
  <sheetFormatPr defaultColWidth="8.85546875" defaultRowHeight="15" x14ac:dyDescent="0.25"/>
  <cols>
    <col min="2" max="2" width="26.42578125" customWidth="1"/>
    <col min="3" max="3" width="10" bestFit="1" customWidth="1"/>
    <col min="4" max="5" width="9.42578125" customWidth="1"/>
    <col min="6" max="6" width="8.5703125" bestFit="1" customWidth="1"/>
    <col min="7" max="9" width="9.42578125" customWidth="1"/>
  </cols>
  <sheetData>
    <row r="1" spans="2:9" ht="15.75" thickBot="1" x14ac:dyDescent="0.3"/>
    <row r="2" spans="2:9" x14ac:dyDescent="0.25">
      <c r="B2" s="1" t="s">
        <v>33</v>
      </c>
      <c r="C2" s="101">
        <v>9.8066499999999994</v>
      </c>
      <c r="D2" s="102" t="s">
        <v>36</v>
      </c>
    </row>
    <row r="3" spans="2:9" ht="15.75" thickBot="1" x14ac:dyDescent="0.3">
      <c r="B3" s="12" t="s">
        <v>61</v>
      </c>
      <c r="C3" s="103">
        <v>2.5399999999999999E-2</v>
      </c>
      <c r="D3" s="15" t="s">
        <v>62</v>
      </c>
    </row>
    <row r="5" spans="2:9" ht="15.75" thickBot="1" x14ac:dyDescent="0.3"/>
    <row r="6" spans="2:9" ht="15.75" thickBot="1" x14ac:dyDescent="0.3">
      <c r="B6" s="1"/>
      <c r="C6" s="4"/>
      <c r="D6" s="192" t="s">
        <v>83</v>
      </c>
      <c r="E6" s="193"/>
      <c r="F6" s="194"/>
      <c r="G6" s="192" t="s">
        <v>84</v>
      </c>
      <c r="H6" s="193"/>
      <c r="I6" s="194"/>
    </row>
    <row r="7" spans="2:9" ht="15.75" thickBot="1" x14ac:dyDescent="0.3">
      <c r="B7" s="72" t="s">
        <v>73</v>
      </c>
      <c r="C7" s="26" t="s">
        <v>75</v>
      </c>
      <c r="D7" s="12" t="s">
        <v>38</v>
      </c>
      <c r="E7" s="13" t="s">
        <v>39</v>
      </c>
      <c r="F7" s="15" t="s">
        <v>45</v>
      </c>
      <c r="G7" s="12" t="s">
        <v>46</v>
      </c>
      <c r="H7" s="13" t="s">
        <v>47</v>
      </c>
      <c r="I7" s="15" t="s">
        <v>48</v>
      </c>
    </row>
    <row r="8" spans="2:9" x14ac:dyDescent="0.25">
      <c r="B8" s="73" t="s">
        <v>85</v>
      </c>
      <c r="C8" s="131">
        <f>27.49/2</f>
        <v>13.744999999999999</v>
      </c>
      <c r="D8" s="127">
        <v>-21.86</v>
      </c>
      <c r="E8" s="128">
        <v>7.31</v>
      </c>
      <c r="F8" s="129">
        <v>-1.329</v>
      </c>
      <c r="G8" s="135">
        <v>1.33E-6</v>
      </c>
      <c r="H8" s="136">
        <v>5.4799999999999997E-5</v>
      </c>
      <c r="I8" s="137">
        <v>5.3499999999999999E-5</v>
      </c>
    </row>
    <row r="9" spans="2:9" x14ac:dyDescent="0.25">
      <c r="B9" s="73" t="s">
        <v>86</v>
      </c>
      <c r="C9" s="132">
        <f>46.75/2</f>
        <v>23.375</v>
      </c>
      <c r="D9" s="90">
        <v>-14.6</v>
      </c>
      <c r="E9" s="77">
        <v>7.31</v>
      </c>
      <c r="F9" s="96">
        <v>-0.33100000000000002</v>
      </c>
      <c r="G9" s="138">
        <v>1.9599999999999999E-5</v>
      </c>
      <c r="H9" s="139">
        <v>9.4199999999999999E-5</v>
      </c>
      <c r="I9" s="140">
        <v>7.4599999999999997E-5</v>
      </c>
    </row>
    <row r="10" spans="2:9" ht="15.75" thickBot="1" x14ac:dyDescent="0.3">
      <c r="B10" s="74" t="s">
        <v>87</v>
      </c>
      <c r="C10" s="134">
        <v>51.51</v>
      </c>
      <c r="D10" s="130">
        <f>-46.07+0.233+1.5</f>
        <v>-44.337000000000003</v>
      </c>
      <c r="E10" s="97">
        <v>60.4</v>
      </c>
      <c r="F10" s="98">
        <v>-0.21199999999999999</v>
      </c>
      <c r="G10" s="141">
        <v>8.8000000000000004E-6</v>
      </c>
      <c r="H10" s="142">
        <v>2.1499999999999999E-4</v>
      </c>
      <c r="I10" s="143">
        <v>2.0699999999999999E-4</v>
      </c>
    </row>
    <row r="11" spans="2:9" ht="15.75" thickBot="1" x14ac:dyDescent="0.3">
      <c r="C11" s="148" t="s">
        <v>97</v>
      </c>
      <c r="D11" s="56" t="s">
        <v>98</v>
      </c>
      <c r="E11" s="16" t="s">
        <v>98</v>
      </c>
      <c r="F11" s="57" t="s">
        <v>98</v>
      </c>
      <c r="G11" s="56" t="s">
        <v>98</v>
      </c>
      <c r="H11" s="16" t="s">
        <v>98</v>
      </c>
      <c r="I11" s="57" t="s">
        <v>98</v>
      </c>
    </row>
    <row r="13" spans="2:9" ht="15.75" thickBot="1" x14ac:dyDescent="0.3"/>
    <row r="14" spans="2:9" ht="15.75" thickBot="1" x14ac:dyDescent="0.3">
      <c r="B14" s="1"/>
      <c r="C14" s="4"/>
      <c r="D14" s="192" t="s">
        <v>83</v>
      </c>
      <c r="E14" s="193"/>
      <c r="F14" s="194"/>
      <c r="G14" s="192" t="s">
        <v>84</v>
      </c>
      <c r="H14" s="193"/>
      <c r="I14" s="194"/>
    </row>
    <row r="15" spans="2:9" ht="15.75" thickBot="1" x14ac:dyDescent="0.3">
      <c r="B15" s="72" t="s">
        <v>65</v>
      </c>
      <c r="C15" s="26" t="s">
        <v>75</v>
      </c>
      <c r="D15" s="12" t="s">
        <v>38</v>
      </c>
      <c r="E15" s="13" t="s">
        <v>39</v>
      </c>
      <c r="F15" s="15" t="s">
        <v>45</v>
      </c>
      <c r="G15" s="12" t="s">
        <v>46</v>
      </c>
      <c r="H15" s="13" t="s">
        <v>47</v>
      </c>
      <c r="I15" s="15" t="s">
        <v>48</v>
      </c>
    </row>
    <row r="16" spans="2:9" x14ac:dyDescent="0.25">
      <c r="B16" s="100" t="s">
        <v>138</v>
      </c>
      <c r="C16" s="131">
        <v>2560.62</v>
      </c>
      <c r="D16" s="151">
        <f>-(19+5/16)</f>
        <v>-19.3125</v>
      </c>
      <c r="E16" s="188">
        <v>0</v>
      </c>
      <c r="F16" s="145">
        <v>-0.375</v>
      </c>
      <c r="G16" s="160"/>
      <c r="H16" s="161"/>
      <c r="I16" s="162"/>
    </row>
    <row r="17" spans="2:10" x14ac:dyDescent="0.25">
      <c r="B17" s="73" t="s">
        <v>130</v>
      </c>
      <c r="C17" s="132">
        <v>52.43</v>
      </c>
      <c r="D17" s="151">
        <v>-9.0624380999999996</v>
      </c>
      <c r="E17" s="144">
        <v>0</v>
      </c>
      <c r="F17" s="145">
        <v>-2.0267940000000002</v>
      </c>
      <c r="G17" s="138">
        <f>($C17/100)*0.00030856</f>
        <v>1.6177800799999998E-4</v>
      </c>
      <c r="H17" s="139">
        <f>($C17/100)*0.0005751</f>
        <v>3.0152493000000003E-4</v>
      </c>
      <c r="I17" s="140">
        <f>($C17/100)*0.00085163</f>
        <v>4.46509609E-4</v>
      </c>
      <c r="J17" t="s">
        <v>29</v>
      </c>
    </row>
    <row r="18" spans="2:10" x14ac:dyDescent="0.25">
      <c r="B18" s="73" t="s">
        <v>21</v>
      </c>
      <c r="C18" s="132">
        <v>0</v>
      </c>
      <c r="D18" s="151">
        <v>-4.62</v>
      </c>
      <c r="E18" s="144">
        <v>0</v>
      </c>
      <c r="F18" s="145">
        <v>-0.61350000000000005</v>
      </c>
      <c r="G18" s="154"/>
      <c r="H18" s="155"/>
      <c r="I18" s="156"/>
      <c r="J18" t="s">
        <v>22</v>
      </c>
    </row>
    <row r="19" spans="2:10" x14ac:dyDescent="0.25">
      <c r="B19" s="73" t="s">
        <v>106</v>
      </c>
      <c r="C19" s="132">
        <v>70.989999999999995</v>
      </c>
      <c r="D19" s="151">
        <v>-20.625</v>
      </c>
      <c r="E19" s="144">
        <v>-3.5</v>
      </c>
      <c r="F19" s="145">
        <v>-0.85</v>
      </c>
      <c r="G19" s="154"/>
      <c r="H19" s="155"/>
      <c r="I19" s="156"/>
      <c r="J19" t="s">
        <v>22</v>
      </c>
    </row>
    <row r="20" spans="2:10" x14ac:dyDescent="0.25">
      <c r="B20" s="73" t="s">
        <v>107</v>
      </c>
      <c r="C20" s="132">
        <v>548.23</v>
      </c>
      <c r="D20" s="151">
        <v>-19.28</v>
      </c>
      <c r="E20" s="144">
        <v>0</v>
      </c>
      <c r="F20" s="145">
        <v>-0.85099999999999998</v>
      </c>
      <c r="G20" s="154"/>
      <c r="H20" s="155"/>
      <c r="I20" s="156"/>
      <c r="J20" t="s">
        <v>22</v>
      </c>
    </row>
    <row r="21" spans="2:10" x14ac:dyDescent="0.25">
      <c r="B21" s="73" t="s">
        <v>103</v>
      </c>
      <c r="C21" s="132">
        <v>43.99</v>
      </c>
      <c r="D21" s="151">
        <v>-28.06</v>
      </c>
      <c r="E21" s="144">
        <v>-7.5209999999999999</v>
      </c>
      <c r="F21" s="145">
        <v>0.14099999999999999</v>
      </c>
      <c r="G21" s="154"/>
      <c r="H21" s="155"/>
      <c r="I21" s="156"/>
      <c r="J21" t="s">
        <v>22</v>
      </c>
    </row>
    <row r="22" spans="2:10" x14ac:dyDescent="0.25">
      <c r="B22" s="73" t="s">
        <v>104</v>
      </c>
      <c r="C22" s="132">
        <v>40.950000000000003</v>
      </c>
      <c r="D22" s="151">
        <f>D21</f>
        <v>-28.06</v>
      </c>
      <c r="E22" s="144">
        <f>-E21</f>
        <v>7.5209999999999999</v>
      </c>
      <c r="F22" s="145">
        <f>F21</f>
        <v>0.14099999999999999</v>
      </c>
      <c r="G22" s="154"/>
      <c r="H22" s="155"/>
      <c r="I22" s="156"/>
      <c r="J22" t="s">
        <v>22</v>
      </c>
    </row>
    <row r="23" spans="2:10" x14ac:dyDescent="0.25">
      <c r="B23" s="73" t="s">
        <v>132</v>
      </c>
      <c r="C23" s="133">
        <f>'Wing Test'!B6</f>
        <v>1392.67</v>
      </c>
      <c r="D23" s="152">
        <f>'Wing Test'!C13</f>
        <v>-28.495728333741713</v>
      </c>
      <c r="E23" s="125">
        <f>'Wing Test'!D13</f>
        <v>-31.990570169987553</v>
      </c>
      <c r="F23" s="146" t="s">
        <v>70</v>
      </c>
      <c r="G23" s="154"/>
      <c r="H23" s="155"/>
      <c r="I23" s="156"/>
    </row>
    <row r="24" spans="2:10" x14ac:dyDescent="0.25">
      <c r="B24" s="73" t="s">
        <v>133</v>
      </c>
      <c r="C24" s="133">
        <f>'Wing Test'!B7</f>
        <v>1381.11</v>
      </c>
      <c r="D24" s="152">
        <f>'Wing Test'!C14</f>
        <v>-28.495728333741713</v>
      </c>
      <c r="E24" s="125">
        <f>'Wing Test'!D14</f>
        <v>31.990570169987553</v>
      </c>
      <c r="F24" s="146" t="str">
        <f>F23</f>
        <v>N/A</v>
      </c>
      <c r="G24" s="154"/>
      <c r="H24" s="155"/>
      <c r="I24" s="156"/>
    </row>
    <row r="25" spans="2:10" x14ac:dyDescent="0.25">
      <c r="B25" s="73" t="s">
        <v>128</v>
      </c>
      <c r="C25" s="132">
        <v>41.84</v>
      </c>
      <c r="D25" s="151">
        <f>-42.448678</f>
        <v>-42.448678000000001</v>
      </c>
      <c r="E25" s="144">
        <f>-60.25</f>
        <v>-60.25</v>
      </c>
      <c r="F25" s="145">
        <v>-0.2122</v>
      </c>
      <c r="G25" s="138">
        <f>($C25/100)*0.00053965</f>
        <v>2.2578956000000004E-4</v>
      </c>
      <c r="H25" s="139">
        <f>($C25/100)*0.00079656</f>
        <v>3.3328070400000004E-4</v>
      </c>
      <c r="I25" s="140">
        <f>($C25/100)*0.00025758</f>
        <v>1.0777147200000001E-4</v>
      </c>
      <c r="J25" t="s">
        <v>29</v>
      </c>
    </row>
    <row r="26" spans="2:10" x14ac:dyDescent="0.25">
      <c r="B26" s="73" t="s">
        <v>129</v>
      </c>
      <c r="C26" s="132">
        <v>40.340000000000003</v>
      </c>
      <c r="D26" s="151">
        <f>D25</f>
        <v>-42.448678000000001</v>
      </c>
      <c r="E26" s="144">
        <f>-E25</f>
        <v>60.25</v>
      </c>
      <c r="F26" s="145">
        <v>-0.2122</v>
      </c>
      <c r="G26" s="138">
        <f>($C26/100)*0.00053965</f>
        <v>2.1769481000000004E-4</v>
      </c>
      <c r="H26" s="139">
        <f>($C26/100)*0.00079656</f>
        <v>3.21332304E-4</v>
      </c>
      <c r="I26" s="140">
        <f>($C26/100)*0.00025758</f>
        <v>1.03907772E-4</v>
      </c>
      <c r="J26" t="s">
        <v>29</v>
      </c>
    </row>
    <row r="27" spans="2:10" x14ac:dyDescent="0.25">
      <c r="B27" s="73" t="s">
        <v>20</v>
      </c>
      <c r="C27" s="132">
        <v>67.81</v>
      </c>
      <c r="D27" s="151">
        <f>(-17.33-18.53-24.79-17.33-18.53-24.79)/6</f>
        <v>-20.216666666666665</v>
      </c>
      <c r="E27" s="144">
        <v>0</v>
      </c>
      <c r="F27" s="145">
        <f>(-1.52-1.52-0.63+0.91+0.91+0.91)/6</f>
        <v>-0.15666666666666659</v>
      </c>
      <c r="G27" s="154"/>
      <c r="H27" s="155"/>
      <c r="I27" s="156"/>
      <c r="J27" t="s">
        <v>22</v>
      </c>
    </row>
    <row r="28" spans="2:10" x14ac:dyDescent="0.25">
      <c r="B28" s="73"/>
      <c r="C28" s="150"/>
      <c r="D28" s="11"/>
      <c r="E28" s="8"/>
      <c r="F28" s="9"/>
      <c r="G28" s="11"/>
      <c r="H28" s="8"/>
      <c r="I28" s="9"/>
    </row>
    <row r="29" spans="2:10" ht="15.75" thickBot="1" x14ac:dyDescent="0.3">
      <c r="B29" s="74" t="s">
        <v>50</v>
      </c>
      <c r="C29" s="149">
        <f>SUM(C16:C22,C23:C27)</f>
        <v>6240.98</v>
      </c>
      <c r="D29" s="153">
        <f>((2*$C8+$C29)*((-23.7433+AVERAGE('Aircraft Test'!K21:K22)))-(2*$C8)*(D8))/($C29)</f>
        <v>-23.75159547875494</v>
      </c>
      <c r="E29" s="147">
        <v>0</v>
      </c>
      <c r="F29" s="163">
        <f>((2*$C8+$C29)*((-1.9322+AVERAGE('Aircraft Test'!S21:S22)))-(2*$C8)*(F8))/($C29)</f>
        <v>-0.30269921935337069</v>
      </c>
      <c r="G29" s="157"/>
      <c r="H29" s="158"/>
      <c r="I29" s="159"/>
    </row>
    <row r="31" spans="2:10" x14ac:dyDescent="0.25">
      <c r="B31" t="s">
        <v>136</v>
      </c>
      <c r="C31" t="s">
        <v>30</v>
      </c>
      <c r="D31">
        <f>SUMPRODUCT($C16:$C27,D16:D27)/$C29</f>
        <v>-23.753446220282026</v>
      </c>
      <c r="E31">
        <f t="shared" ref="E31:F31" si="0">SUMPRODUCT($C16:$C27,E16:E27)/$C29</f>
        <v>-0.11721153267035991</v>
      </c>
      <c r="F31">
        <f t="shared" si="0"/>
        <v>-0.25788708858010545</v>
      </c>
    </row>
    <row r="33" spans="4:4" x14ac:dyDescent="0.25">
      <c r="D33" s="187"/>
    </row>
  </sheetData>
  <mergeCells count="4">
    <mergeCell ref="D6:F6"/>
    <mergeCell ref="G6:I6"/>
    <mergeCell ref="D14:F14"/>
    <mergeCell ref="G14:I14"/>
  </mergeCells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opLeftCell="A7" workbookViewId="0">
      <selection activeCell="G16" sqref="G16"/>
    </sheetView>
  </sheetViews>
  <sheetFormatPr defaultColWidth="8.85546875" defaultRowHeight="15" x14ac:dyDescent="0.25"/>
  <cols>
    <col min="1" max="1" width="11.42578125" bestFit="1" customWidth="1"/>
    <col min="2" max="2" width="15.140625" bestFit="1" customWidth="1"/>
    <col min="4" max="4" width="9.42578125" bestFit="1" customWidth="1"/>
    <col min="8" max="8" width="11.85546875" bestFit="1" customWidth="1"/>
    <col min="9" max="9" width="6.42578125" customWidth="1"/>
    <col min="10" max="10" width="6.7109375" customWidth="1"/>
    <col min="11" max="11" width="18.7109375" bestFit="1" customWidth="1"/>
    <col min="12" max="12" width="8.28515625" bestFit="1" customWidth="1"/>
    <col min="13" max="15" width="12" bestFit="1" customWidth="1"/>
    <col min="16" max="18" width="8.28515625" bestFit="1" customWidth="1"/>
    <col min="21" max="21" width="12" bestFit="1" customWidth="1"/>
  </cols>
  <sheetData>
    <row r="1" spans="1:32" x14ac:dyDescent="0.25">
      <c r="A1" t="s">
        <v>28</v>
      </c>
      <c r="B1" t="s">
        <v>137</v>
      </c>
    </row>
    <row r="2" spans="1:32" ht="15.75" thickBot="1" x14ac:dyDescent="0.3"/>
    <row r="3" spans="1:32" ht="20.25" x14ac:dyDescent="0.3">
      <c r="B3" s="195" t="s">
        <v>49</v>
      </c>
      <c r="C3" s="196"/>
      <c r="D3" s="196"/>
      <c r="E3" s="196"/>
      <c r="F3" s="196"/>
      <c r="G3" s="196"/>
      <c r="H3" s="197"/>
      <c r="J3" s="195" t="s">
        <v>82</v>
      </c>
      <c r="K3" s="196"/>
      <c r="L3" s="196"/>
      <c r="M3" s="196"/>
      <c r="N3" s="196"/>
      <c r="O3" s="196"/>
      <c r="P3" s="197"/>
      <c r="R3" s="195" t="s">
        <v>101</v>
      </c>
      <c r="S3" s="196"/>
      <c r="T3" s="196"/>
      <c r="U3" s="196"/>
      <c r="V3" s="196"/>
      <c r="W3" s="196"/>
      <c r="X3" s="197"/>
      <c r="Z3" s="195" t="s">
        <v>102</v>
      </c>
      <c r="AA3" s="196"/>
      <c r="AB3" s="196"/>
      <c r="AC3" s="196"/>
      <c r="AD3" s="196"/>
      <c r="AE3" s="196"/>
      <c r="AF3" s="197"/>
    </row>
    <row r="4" spans="1:32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  <c r="Z4" s="5"/>
      <c r="AA4" s="6"/>
      <c r="AB4" s="7"/>
      <c r="AC4" s="8"/>
      <c r="AD4" s="8"/>
      <c r="AE4" s="8"/>
      <c r="AF4" s="9"/>
    </row>
    <row r="5" spans="1:32" ht="15.75" thickBot="1" x14ac:dyDescent="0.3">
      <c r="B5" s="200" t="s">
        <v>66</v>
      </c>
      <c r="C5" s="201"/>
      <c r="D5" s="201"/>
      <c r="E5" s="201"/>
      <c r="F5" s="201"/>
      <c r="G5" s="201"/>
      <c r="H5" s="202"/>
      <c r="I5" s="10"/>
      <c r="J5" s="200" t="s">
        <v>66</v>
      </c>
      <c r="K5" s="201"/>
      <c r="L5" s="201"/>
      <c r="M5" s="201"/>
      <c r="N5" s="201"/>
      <c r="O5" s="201"/>
      <c r="P5" s="202"/>
      <c r="R5" s="200" t="s">
        <v>66</v>
      </c>
      <c r="S5" s="201"/>
      <c r="T5" s="201"/>
      <c r="U5" s="201"/>
      <c r="V5" s="201"/>
      <c r="W5" s="201"/>
      <c r="X5" s="202"/>
      <c r="Z5" s="200" t="s">
        <v>66</v>
      </c>
      <c r="AA5" s="201"/>
      <c r="AB5" s="201"/>
      <c r="AC5" s="201"/>
      <c r="AD5" s="201"/>
      <c r="AE5" s="201"/>
      <c r="AF5" s="202"/>
    </row>
    <row r="6" spans="1:32" ht="15.75" thickBot="1" x14ac:dyDescent="0.3">
      <c r="B6" s="37" t="s">
        <v>35</v>
      </c>
      <c r="C6" s="203" t="s">
        <v>67</v>
      </c>
      <c r="D6" s="204"/>
      <c r="E6" s="205"/>
      <c r="F6" s="3"/>
      <c r="G6" s="206" t="s">
        <v>68</v>
      </c>
      <c r="H6" s="207"/>
      <c r="I6" s="10"/>
      <c r="J6" s="37" t="s">
        <v>35</v>
      </c>
      <c r="K6" s="203" t="s">
        <v>67</v>
      </c>
      <c r="L6" s="204"/>
      <c r="M6" s="205"/>
      <c r="N6" s="3"/>
      <c r="O6" s="206" t="s">
        <v>68</v>
      </c>
      <c r="P6" s="207"/>
      <c r="R6" s="37" t="s">
        <v>35</v>
      </c>
      <c r="S6" s="203" t="s">
        <v>67</v>
      </c>
      <c r="T6" s="204"/>
      <c r="U6" s="205"/>
      <c r="V6" s="3"/>
      <c r="W6" s="206" t="s">
        <v>68</v>
      </c>
      <c r="X6" s="207"/>
      <c r="Z6" s="37" t="s">
        <v>35</v>
      </c>
      <c r="AA6" s="203" t="s">
        <v>67</v>
      </c>
      <c r="AB6" s="204"/>
      <c r="AC6" s="205"/>
      <c r="AD6" s="3"/>
      <c r="AE6" s="206" t="s">
        <v>68</v>
      </c>
      <c r="AF6" s="207"/>
    </row>
    <row r="7" spans="1:32" ht="15.75" thickBot="1" x14ac:dyDescent="0.3">
      <c r="B7" s="41">
        <v>10</v>
      </c>
      <c r="C7" s="19"/>
      <c r="D7" s="14"/>
      <c r="E7" s="20"/>
      <c r="F7" s="6"/>
      <c r="G7" s="24" t="s">
        <v>57</v>
      </c>
      <c r="H7" s="51" t="e">
        <f>AVERAGE(C8:E10)</f>
        <v>#DIV/0!</v>
      </c>
      <c r="I7" s="10"/>
      <c r="J7" s="41">
        <v>20</v>
      </c>
      <c r="K7" s="19"/>
      <c r="L7" s="14"/>
      <c r="M7" s="20"/>
      <c r="N7" s="6"/>
      <c r="O7" s="64" t="s">
        <v>57</v>
      </c>
      <c r="P7" s="51" t="e">
        <f>AVERAGE(K8:M10)</f>
        <v>#DIV/0!</v>
      </c>
      <c r="R7" s="41">
        <v>20</v>
      </c>
      <c r="S7" s="19"/>
      <c r="T7" s="14"/>
      <c r="U7" s="20"/>
      <c r="V7" s="6"/>
      <c r="W7" s="64" t="s">
        <v>57</v>
      </c>
      <c r="X7" s="51" t="e">
        <f>AVERAGE(S8:U10)</f>
        <v>#DIV/0!</v>
      </c>
      <c r="Z7" s="41">
        <v>20</v>
      </c>
      <c r="AA7" s="19" t="s">
        <v>56</v>
      </c>
      <c r="AB7" s="32"/>
      <c r="AC7" s="33"/>
      <c r="AD7" s="6"/>
      <c r="AE7" s="64" t="s">
        <v>57</v>
      </c>
      <c r="AF7" s="51" t="e">
        <f>AVERAGE(AA8:AC11)</f>
        <v>#DIV/0!</v>
      </c>
    </row>
    <row r="8" spans="1:32" ht="15.75" thickBot="1" x14ac:dyDescent="0.3">
      <c r="B8" s="21" t="s">
        <v>53</v>
      </c>
      <c r="C8" s="42"/>
      <c r="D8" s="43"/>
      <c r="E8" s="44"/>
      <c r="F8" s="34"/>
      <c r="G8" s="23" t="s">
        <v>58</v>
      </c>
      <c r="H8" s="52" t="e">
        <f>STDEVA(C8:E10)</f>
        <v>#DIV/0!</v>
      </c>
      <c r="J8" s="21" t="s">
        <v>53</v>
      </c>
      <c r="K8" s="42"/>
      <c r="L8" s="43"/>
      <c r="M8" s="44"/>
      <c r="N8" s="34"/>
      <c r="O8" s="19" t="s">
        <v>58</v>
      </c>
      <c r="P8" s="52" t="e">
        <f>STDEVA(K8:M10)</f>
        <v>#DIV/0!</v>
      </c>
      <c r="R8" s="21" t="s">
        <v>53</v>
      </c>
      <c r="S8" s="42"/>
      <c r="T8" s="43"/>
      <c r="U8" s="44"/>
      <c r="V8" s="34"/>
      <c r="W8" s="19" t="s">
        <v>58</v>
      </c>
      <c r="X8" s="52" t="e">
        <f>STDEVA(S8:U10)</f>
        <v>#DIV/0!</v>
      </c>
      <c r="Z8" s="21" t="s">
        <v>53</v>
      </c>
      <c r="AA8" s="42"/>
      <c r="AB8" s="43"/>
      <c r="AC8" s="44"/>
      <c r="AD8" s="34"/>
      <c r="AE8" s="19" t="s">
        <v>58</v>
      </c>
      <c r="AF8" s="52" t="e">
        <f>STDEVA(AA8:AC11)</f>
        <v>#DIV/0!</v>
      </c>
    </row>
    <row r="9" spans="1:32" x14ac:dyDescent="0.25">
      <c r="B9" s="22" t="s">
        <v>54</v>
      </c>
      <c r="C9" s="45"/>
      <c r="D9" s="46"/>
      <c r="E9" s="47"/>
      <c r="F9" s="34"/>
      <c r="G9" s="8"/>
      <c r="H9" s="9"/>
      <c r="J9" s="22" t="s">
        <v>54</v>
      </c>
      <c r="K9" s="45"/>
      <c r="L9" s="46"/>
      <c r="M9" s="47"/>
      <c r="N9" s="34"/>
      <c r="O9" s="8"/>
      <c r="P9" s="9"/>
      <c r="R9" s="22" t="s">
        <v>54</v>
      </c>
      <c r="S9" s="45"/>
      <c r="T9" s="46"/>
      <c r="U9" s="47"/>
      <c r="V9" s="34"/>
      <c r="W9" s="8"/>
      <c r="X9" s="9"/>
      <c r="Z9" s="22" t="s">
        <v>54</v>
      </c>
      <c r="AA9" s="45"/>
      <c r="AB9" s="46"/>
      <c r="AC9" s="47"/>
      <c r="AD9" s="34"/>
      <c r="AE9" s="8"/>
      <c r="AF9" s="9"/>
    </row>
    <row r="10" spans="1:32" ht="15.75" thickBot="1" x14ac:dyDescent="0.3">
      <c r="B10" s="23" t="s">
        <v>55</v>
      </c>
      <c r="C10" s="48"/>
      <c r="D10" s="49"/>
      <c r="E10" s="50"/>
      <c r="F10" s="34"/>
      <c r="G10" s="8"/>
      <c r="H10" s="9"/>
      <c r="I10" s="8"/>
      <c r="J10" s="23" t="s">
        <v>55</v>
      </c>
      <c r="K10" s="48"/>
      <c r="L10" s="49"/>
      <c r="M10" s="50"/>
      <c r="N10" s="34"/>
      <c r="O10" s="8"/>
      <c r="P10" s="9"/>
      <c r="R10" s="23" t="s">
        <v>55</v>
      </c>
      <c r="S10" s="48"/>
      <c r="T10" s="49"/>
      <c r="U10" s="50"/>
      <c r="V10" s="34"/>
      <c r="W10" s="8"/>
      <c r="X10" s="9"/>
      <c r="Z10" s="22" t="s">
        <v>55</v>
      </c>
      <c r="AA10" s="92"/>
      <c r="AB10" s="184"/>
      <c r="AC10" s="185"/>
      <c r="AD10" s="34"/>
      <c r="AE10" s="8"/>
      <c r="AF10" s="9"/>
    </row>
    <row r="11" spans="1:32" ht="15.75" thickBot="1" x14ac:dyDescent="0.3">
      <c r="B11" s="11"/>
      <c r="C11" s="8"/>
      <c r="D11" s="8"/>
      <c r="E11" s="8"/>
      <c r="F11" s="8"/>
      <c r="G11" s="206" t="s">
        <v>59</v>
      </c>
      <c r="H11" s="207"/>
      <c r="I11" s="8"/>
      <c r="J11" s="11"/>
      <c r="K11" s="8"/>
      <c r="L11" s="8"/>
      <c r="M11" s="8"/>
      <c r="N11" s="8"/>
      <c r="O11" s="206" t="s">
        <v>59</v>
      </c>
      <c r="P11" s="207"/>
      <c r="R11" s="11"/>
      <c r="S11" s="8"/>
      <c r="T11" s="8"/>
      <c r="U11" s="8"/>
      <c r="V11" s="8"/>
      <c r="W11" s="206" t="s">
        <v>59</v>
      </c>
      <c r="X11" s="207"/>
      <c r="Z11" s="23" t="s">
        <v>0</v>
      </c>
      <c r="AA11" s="48"/>
      <c r="AB11" s="49"/>
      <c r="AC11" s="50"/>
      <c r="AD11" s="34"/>
      <c r="AE11" s="8"/>
      <c r="AF11" s="9"/>
    </row>
    <row r="12" spans="1:32" ht="15.75" thickBot="1" x14ac:dyDescent="0.3">
      <c r="B12" s="24" t="s">
        <v>57</v>
      </c>
      <c r="C12" s="28" t="e">
        <f>AVERAGE(C8:C10)</f>
        <v>#DIV/0!</v>
      </c>
      <c r="D12" s="29" t="e">
        <f t="shared" ref="D12:E12" si="0">AVERAGE(D8:D10)</f>
        <v>#DIV/0!</v>
      </c>
      <c r="E12" s="30" t="e">
        <f t="shared" si="0"/>
        <v>#DIV/0!</v>
      </c>
      <c r="F12" s="8"/>
      <c r="G12" s="36" t="s">
        <v>57</v>
      </c>
      <c r="H12" s="51" t="e">
        <f>B7/H7</f>
        <v>#DIV/0!</v>
      </c>
      <c r="I12" s="8"/>
      <c r="J12" s="24" t="s">
        <v>57</v>
      </c>
      <c r="K12" s="78" t="e">
        <f>AVERAGE(K8:K10)</f>
        <v>#DIV/0!</v>
      </c>
      <c r="L12" s="79" t="e">
        <f t="shared" ref="L12:M12" si="1">AVERAGE(L8:L10)</f>
        <v>#DIV/0!</v>
      </c>
      <c r="M12" s="80" t="e">
        <f t="shared" si="1"/>
        <v>#DIV/0!</v>
      </c>
      <c r="N12" s="8"/>
      <c r="O12" s="36" t="s">
        <v>57</v>
      </c>
      <c r="P12" s="51" t="e">
        <f>J7/P7</f>
        <v>#DIV/0!</v>
      </c>
      <c r="R12" s="24" t="s">
        <v>57</v>
      </c>
      <c r="S12" s="78" t="e">
        <f>AVERAGE(S8:S10)</f>
        <v>#DIV/0!</v>
      </c>
      <c r="T12" s="79" t="e">
        <f t="shared" ref="T12:U12" si="2">AVERAGE(T8:T10)</f>
        <v>#DIV/0!</v>
      </c>
      <c r="U12" s="80" t="e">
        <f t="shared" si="2"/>
        <v>#DIV/0!</v>
      </c>
      <c r="V12" s="8"/>
      <c r="W12" s="36" t="s">
        <v>57</v>
      </c>
      <c r="X12" s="51" t="e">
        <f>R7/X7</f>
        <v>#DIV/0!</v>
      </c>
      <c r="Z12" s="11"/>
      <c r="AA12" s="8"/>
      <c r="AB12" s="8"/>
      <c r="AC12" s="8"/>
      <c r="AD12" s="8"/>
      <c r="AE12" s="206" t="s">
        <v>59</v>
      </c>
      <c r="AF12" s="207"/>
    </row>
    <row r="13" spans="1:32" ht="15.75" thickBot="1" x14ac:dyDescent="0.3">
      <c r="B13" s="25" t="s">
        <v>58</v>
      </c>
      <c r="C13" s="31" t="e">
        <f>STDEVA(C8:C10)</f>
        <v>#DIV/0!</v>
      </c>
      <c r="D13" s="32" t="e">
        <f>STDEVA(D8:D10)</f>
        <v>#DIV/0!</v>
      </c>
      <c r="E13" s="32" t="e">
        <f>STDEVA(E8:E10)</f>
        <v>#DIV/0!</v>
      </c>
      <c r="F13" s="33"/>
      <c r="G13" s="31" t="s">
        <v>58</v>
      </c>
      <c r="H13" s="52" t="e">
        <f>(H8/H7)*H12</f>
        <v>#DIV/0!</v>
      </c>
      <c r="I13" s="8"/>
      <c r="J13" s="25" t="s">
        <v>58</v>
      </c>
      <c r="K13" s="81" t="e">
        <f>STDEVA(K8:K10)</f>
        <v>#DIV/0!</v>
      </c>
      <c r="L13" s="82" t="e">
        <f>STDEVA(L8:L10)</f>
        <v>#DIV/0!</v>
      </c>
      <c r="M13" s="83" t="e">
        <f>STDEVA(M8:M10)</f>
        <v>#DIV/0!</v>
      </c>
      <c r="N13" s="33"/>
      <c r="O13" s="31" t="s">
        <v>58</v>
      </c>
      <c r="P13" s="52" t="e">
        <f>(P8/P7)*P12</f>
        <v>#DIV/0!</v>
      </c>
      <c r="R13" s="25" t="s">
        <v>58</v>
      </c>
      <c r="S13" s="81" t="e">
        <f>STDEVA(S8:S10)</f>
        <v>#DIV/0!</v>
      </c>
      <c r="T13" s="82" t="e">
        <f>STDEVA(T8:T10)</f>
        <v>#DIV/0!</v>
      </c>
      <c r="U13" s="83" t="e">
        <f>STDEVA(U8:U10)</f>
        <v>#DIV/0!</v>
      </c>
      <c r="V13" s="33"/>
      <c r="W13" s="31" t="s">
        <v>58</v>
      </c>
      <c r="X13" s="52" t="e">
        <f>(X8/X7)*X12</f>
        <v>#DIV/0!</v>
      </c>
      <c r="Z13" s="24" t="s">
        <v>57</v>
      </c>
      <c r="AA13" s="78" t="e">
        <f>AVERAGE(AA8:AA11)</f>
        <v>#DIV/0!</v>
      </c>
      <c r="AB13" s="29"/>
      <c r="AC13" s="30"/>
      <c r="AD13" s="8"/>
      <c r="AE13" s="36" t="s">
        <v>57</v>
      </c>
      <c r="AF13" s="51" t="e">
        <f>Z7/AF7</f>
        <v>#DIV/0!</v>
      </c>
    </row>
    <row r="14" spans="1:32" ht="15.75" thickBot="1" x14ac:dyDescent="0.3">
      <c r="B14" s="64"/>
      <c r="C14" s="65"/>
      <c r="D14" s="65"/>
      <c r="E14" s="65"/>
      <c r="F14" s="65"/>
      <c r="G14" s="65"/>
      <c r="H14" s="171"/>
      <c r="I14" s="8"/>
      <c r="J14" s="36"/>
      <c r="K14" s="17"/>
      <c r="L14" s="17"/>
      <c r="M14" s="17"/>
      <c r="N14" s="17"/>
      <c r="O14" s="17"/>
      <c r="P14" s="172"/>
      <c r="R14" s="36"/>
      <c r="S14" s="17"/>
      <c r="T14" s="17"/>
      <c r="U14" s="17"/>
      <c r="V14" s="17"/>
      <c r="W14" s="17"/>
      <c r="X14" s="60"/>
      <c r="Z14" s="25" t="s">
        <v>58</v>
      </c>
      <c r="AA14" s="81" t="e">
        <f>STDEVA(AA8:AA11)</f>
        <v>#DIV/0!</v>
      </c>
      <c r="AB14" s="32"/>
      <c r="AC14" s="33"/>
      <c r="AD14" s="33"/>
      <c r="AE14" s="31" t="s">
        <v>58</v>
      </c>
      <c r="AF14" s="52" t="e">
        <f>(AF8/AF7)*AF13</f>
        <v>#DIV/0!</v>
      </c>
    </row>
    <row r="15" spans="1:32" ht="15.75" thickBot="1" x14ac:dyDescent="0.3">
      <c r="B15" s="208" t="s">
        <v>76</v>
      </c>
      <c r="C15" s="209"/>
      <c r="D15" s="209"/>
      <c r="E15" s="209"/>
      <c r="F15" s="209"/>
      <c r="G15" s="209"/>
      <c r="H15" s="210"/>
      <c r="I15" s="8"/>
      <c r="J15" s="208" t="s">
        <v>77</v>
      </c>
      <c r="K15" s="209"/>
      <c r="L15" s="209"/>
      <c r="M15" s="209"/>
      <c r="N15" s="209"/>
      <c r="O15" s="209"/>
      <c r="P15" s="210"/>
      <c r="R15" s="208" t="s">
        <v>77</v>
      </c>
      <c r="S15" s="209"/>
      <c r="T15" s="209"/>
      <c r="U15" s="209"/>
      <c r="V15" s="209"/>
      <c r="W15" s="209"/>
      <c r="X15" s="210"/>
      <c r="Z15" s="36"/>
      <c r="AA15" s="17"/>
      <c r="AB15" s="17"/>
      <c r="AC15" s="17"/>
      <c r="AD15" s="17"/>
      <c r="AE15" s="17"/>
      <c r="AF15" s="60"/>
    </row>
    <row r="16" spans="1:32" x14ac:dyDescent="0.25">
      <c r="B16" s="36"/>
      <c r="C16" s="17" t="s">
        <v>40</v>
      </c>
      <c r="D16" s="8" t="s">
        <v>51</v>
      </c>
      <c r="E16" s="17" t="s">
        <v>69</v>
      </c>
      <c r="F16" s="8"/>
      <c r="G16" s="8"/>
      <c r="H16" s="60"/>
      <c r="J16" s="36" t="s">
        <v>91</v>
      </c>
      <c r="K16" s="89">
        <v>0.25</v>
      </c>
      <c r="L16" s="17" t="s">
        <v>63</v>
      </c>
      <c r="M16" s="17"/>
      <c r="N16" s="17"/>
      <c r="O16" s="17"/>
      <c r="P16" s="63"/>
      <c r="R16" s="36" t="s">
        <v>88</v>
      </c>
      <c r="S16" s="89"/>
      <c r="T16" s="17" t="s">
        <v>63</v>
      </c>
      <c r="U16" s="17"/>
      <c r="V16" s="17"/>
      <c r="W16" s="17"/>
      <c r="X16" s="60"/>
      <c r="Z16" s="208" t="s">
        <v>77</v>
      </c>
      <c r="AA16" s="209"/>
      <c r="AB16" s="209"/>
      <c r="AC16" s="209"/>
      <c r="AD16" s="209"/>
      <c r="AE16" s="209"/>
      <c r="AF16" s="210"/>
    </row>
    <row r="17" spans="2:32" x14ac:dyDescent="0.25">
      <c r="B17" s="11" t="s">
        <v>78</v>
      </c>
      <c r="C17" s="39">
        <v>61.31</v>
      </c>
      <c r="D17" s="54"/>
      <c r="E17" s="39">
        <v>-1.25</v>
      </c>
      <c r="F17" s="8"/>
      <c r="G17" s="8"/>
      <c r="H17" s="75"/>
      <c r="J17" s="36" t="s">
        <v>89</v>
      </c>
      <c r="K17" s="89"/>
      <c r="L17" s="17" t="s">
        <v>63</v>
      </c>
      <c r="M17" s="17"/>
      <c r="N17" s="17"/>
      <c r="O17" s="17"/>
      <c r="P17" s="60"/>
      <c r="R17" s="36"/>
      <c r="S17" s="17"/>
      <c r="T17" s="17"/>
      <c r="U17" s="17"/>
      <c r="V17" s="17"/>
      <c r="W17" s="17"/>
      <c r="X17" s="60"/>
      <c r="Z17" s="36" t="s">
        <v>1</v>
      </c>
      <c r="AA17" s="89"/>
      <c r="AB17" s="17" t="s">
        <v>63</v>
      </c>
      <c r="AC17" s="17"/>
      <c r="AD17" s="17"/>
      <c r="AE17" s="17"/>
      <c r="AF17" s="60"/>
    </row>
    <row r="18" spans="2:32" x14ac:dyDescent="0.25">
      <c r="B18" s="11" t="s">
        <v>79</v>
      </c>
      <c r="C18" s="39">
        <v>100.02</v>
      </c>
      <c r="D18" s="54"/>
      <c r="E18" s="39">
        <v>0.25</v>
      </c>
      <c r="F18" s="8"/>
      <c r="G18" s="8"/>
      <c r="H18" s="75"/>
      <c r="J18" s="36" t="s">
        <v>90</v>
      </c>
      <c r="K18" s="89"/>
      <c r="L18" s="17" t="s">
        <v>63</v>
      </c>
      <c r="M18" s="17"/>
      <c r="N18" s="17"/>
      <c r="O18" s="17"/>
      <c r="P18" s="60"/>
      <c r="R18" s="11" t="s">
        <v>92</v>
      </c>
      <c r="S18" s="8"/>
      <c r="T18" s="17"/>
      <c r="U18" s="17"/>
      <c r="V18" s="17"/>
      <c r="W18" s="17"/>
      <c r="X18" s="60"/>
      <c r="Z18" s="36" t="s">
        <v>2</v>
      </c>
      <c r="AA18" s="89"/>
      <c r="AB18" s="17" t="s">
        <v>63</v>
      </c>
      <c r="AC18" s="17"/>
      <c r="AD18" s="17"/>
      <c r="AE18" s="17"/>
      <c r="AF18" s="60"/>
    </row>
    <row r="19" spans="2:32" x14ac:dyDescent="0.25">
      <c r="B19" s="11" t="s">
        <v>80</v>
      </c>
      <c r="C19" s="39">
        <f>383.33</f>
        <v>383.33</v>
      </c>
      <c r="D19" s="54"/>
      <c r="E19" s="39">
        <v>9</v>
      </c>
      <c r="F19" s="8"/>
      <c r="G19" s="8"/>
      <c r="H19" s="75"/>
      <c r="I19" s="8"/>
      <c r="J19" s="36"/>
      <c r="K19" s="17"/>
      <c r="L19" s="17"/>
      <c r="M19" s="17"/>
      <c r="N19" s="17"/>
      <c r="O19" s="17"/>
      <c r="P19" s="60"/>
      <c r="R19" s="11" t="s">
        <v>93</v>
      </c>
      <c r="S19" t="s">
        <v>95</v>
      </c>
      <c r="T19" s="8" t="s">
        <v>94</v>
      </c>
      <c r="U19" s="17"/>
      <c r="V19" s="17"/>
      <c r="W19" s="17"/>
      <c r="X19" s="60"/>
      <c r="Z19" s="36" t="s">
        <v>3</v>
      </c>
      <c r="AA19" s="89"/>
      <c r="AB19" s="17" t="s">
        <v>63</v>
      </c>
      <c r="AC19" s="17"/>
      <c r="AD19" s="17"/>
      <c r="AE19" s="17"/>
      <c r="AF19" s="60"/>
    </row>
    <row r="20" spans="2:32" x14ac:dyDescent="0.25">
      <c r="B20" s="11"/>
      <c r="C20" s="8"/>
      <c r="D20" s="8"/>
      <c r="E20" s="8"/>
      <c r="F20" s="8"/>
      <c r="G20" s="8"/>
      <c r="H20" s="75"/>
      <c r="J20" s="11" t="s">
        <v>92</v>
      </c>
      <c r="K20" s="8"/>
      <c r="L20" s="17"/>
      <c r="M20" s="17"/>
      <c r="N20" s="17"/>
      <c r="O20" s="17"/>
      <c r="P20" s="60"/>
      <c r="R20" s="90"/>
      <c r="S20" s="71"/>
      <c r="T20" s="40">
        <f>-1.93-S16</f>
        <v>-1.93</v>
      </c>
      <c r="U20" s="17"/>
      <c r="V20" s="17"/>
      <c r="W20" s="17"/>
      <c r="X20" s="60"/>
      <c r="Z20" s="36" t="s">
        <v>4</v>
      </c>
      <c r="AA20" s="89"/>
      <c r="AB20" s="17" t="s">
        <v>63</v>
      </c>
      <c r="AC20" s="17"/>
      <c r="AD20" s="17"/>
      <c r="AE20" s="17"/>
      <c r="AF20" s="60"/>
    </row>
    <row r="21" spans="2:32" ht="15.75" thickBot="1" x14ac:dyDescent="0.3">
      <c r="B21" s="12" t="s">
        <v>81</v>
      </c>
      <c r="C21" s="66">
        <f>SUM(C17:C19)</f>
        <v>544.66</v>
      </c>
      <c r="D21" s="67"/>
      <c r="E21" s="66">
        <f>SUMPRODUCT($C17:$C19,E17:E19)/SUM($C17:$C19)</f>
        <v>6.2393741049462044</v>
      </c>
      <c r="F21" s="13"/>
      <c r="G21" s="13"/>
      <c r="H21" s="76"/>
      <c r="J21" s="11" t="s">
        <v>93</v>
      </c>
      <c r="K21" t="s">
        <v>95</v>
      </c>
      <c r="L21" s="8" t="s">
        <v>94</v>
      </c>
      <c r="M21" s="17"/>
      <c r="N21" s="17"/>
      <c r="O21" s="17"/>
      <c r="P21" s="60"/>
      <c r="R21" s="12"/>
      <c r="S21" s="13"/>
      <c r="T21" s="32"/>
      <c r="U21" s="32"/>
      <c r="V21" s="32"/>
      <c r="W21" s="32"/>
      <c r="X21" s="70"/>
      <c r="Z21" s="36" t="s">
        <v>99</v>
      </c>
      <c r="AA21" s="17"/>
      <c r="AB21" s="17"/>
      <c r="AC21" s="17"/>
      <c r="AD21" s="17"/>
      <c r="AE21" s="17"/>
      <c r="AF21" s="60"/>
    </row>
    <row r="22" spans="2:32" x14ac:dyDescent="0.25">
      <c r="B22" s="11"/>
      <c r="C22" s="8"/>
      <c r="D22" s="8"/>
      <c r="E22" s="8"/>
      <c r="F22" s="8"/>
      <c r="G22" s="8"/>
      <c r="H22" s="9"/>
      <c r="J22" s="85">
        <f>-19.0522+K16</f>
        <v>-18.802199999999999</v>
      </c>
      <c r="K22" s="38"/>
      <c r="L22" s="40" t="e">
        <f>-1.93-(AVERAGE(K17:K18))</f>
        <v>#DIV/0!</v>
      </c>
      <c r="M22" s="17"/>
      <c r="N22" s="17"/>
      <c r="O22" s="17"/>
      <c r="P22" s="60"/>
      <c r="R22" s="11"/>
      <c r="S22" s="8"/>
      <c r="T22" s="17"/>
      <c r="U22" s="17"/>
      <c r="V22" s="17"/>
      <c r="W22" s="17"/>
      <c r="X22" s="60"/>
      <c r="Z22" s="36" t="s">
        <v>42</v>
      </c>
      <c r="AA22" s="89">
        <f>1+7/16</f>
        <v>1.4375</v>
      </c>
      <c r="AB22" s="17" t="s">
        <v>63</v>
      </c>
      <c r="AC22" s="17"/>
      <c r="AD22" s="17"/>
      <c r="AE22" s="17"/>
      <c r="AF22" s="60"/>
    </row>
    <row r="23" spans="2:32" ht="15.75" thickBot="1" x14ac:dyDescent="0.3">
      <c r="B23" s="5" t="s">
        <v>71</v>
      </c>
      <c r="C23" s="40">
        <f>E21</f>
        <v>6.2393741049462044</v>
      </c>
      <c r="D23" s="8" t="s">
        <v>63</v>
      </c>
      <c r="E23" s="40">
        <f>C23*in2m</f>
        <v>0.15848010226563358</v>
      </c>
      <c r="F23" s="8" t="s">
        <v>117</v>
      </c>
      <c r="G23" s="8"/>
      <c r="H23" s="9"/>
      <c r="J23" s="12"/>
      <c r="K23" s="13"/>
      <c r="L23" s="32"/>
      <c r="M23" s="32"/>
      <c r="N23" s="32"/>
      <c r="O23" s="32"/>
      <c r="P23" s="70"/>
      <c r="R23" s="11"/>
      <c r="S23" s="8"/>
      <c r="T23" s="17"/>
      <c r="U23" s="17"/>
      <c r="V23" s="17"/>
      <c r="W23" s="17"/>
      <c r="X23" s="60"/>
      <c r="Z23" s="36" t="s">
        <v>43</v>
      </c>
      <c r="AA23" s="89">
        <f>1+7/16</f>
        <v>1.4375</v>
      </c>
      <c r="AB23" s="17" t="s">
        <v>63</v>
      </c>
      <c r="AC23" s="17"/>
      <c r="AD23" s="17"/>
      <c r="AE23" s="17"/>
      <c r="AF23" s="60"/>
    </row>
    <row r="24" spans="2:32" x14ac:dyDescent="0.25">
      <c r="B24" s="5" t="s">
        <v>37</v>
      </c>
      <c r="C24" s="40">
        <f>C21</f>
        <v>544.66</v>
      </c>
      <c r="D24" s="8" t="s">
        <v>34</v>
      </c>
      <c r="E24" s="40">
        <f>C24/1000</f>
        <v>0.54465999999999992</v>
      </c>
      <c r="F24" s="8" t="s">
        <v>118</v>
      </c>
      <c r="G24" s="8"/>
      <c r="H24" s="9"/>
      <c r="J24" s="208" t="s">
        <v>76</v>
      </c>
      <c r="K24" s="209"/>
      <c r="L24" s="209"/>
      <c r="M24" s="209"/>
      <c r="N24" s="209"/>
      <c r="O24" s="209"/>
      <c r="P24" s="210"/>
      <c r="R24" s="208" t="s">
        <v>76</v>
      </c>
      <c r="S24" s="209"/>
      <c r="T24" s="209"/>
      <c r="U24" s="209"/>
      <c r="V24" s="209"/>
      <c r="W24" s="209"/>
      <c r="X24" s="210"/>
      <c r="Z24" s="36"/>
      <c r="AA24" s="17"/>
      <c r="AB24" s="17"/>
      <c r="AC24" s="17"/>
      <c r="AD24" s="17"/>
      <c r="AE24" s="17"/>
      <c r="AF24" s="60"/>
    </row>
    <row r="25" spans="2:32" x14ac:dyDescent="0.25">
      <c r="B25" s="5" t="s">
        <v>25</v>
      </c>
      <c r="C25" s="40" t="e">
        <f>H12</f>
        <v>#DIV/0!</v>
      </c>
      <c r="D25" s="8" t="s">
        <v>60</v>
      </c>
      <c r="E25" s="40" t="e">
        <f>C25*2*PI()</f>
        <v>#DIV/0!</v>
      </c>
      <c r="F25" s="8" t="s">
        <v>116</v>
      </c>
      <c r="G25" s="8"/>
      <c r="H25" s="9"/>
      <c r="J25" s="36"/>
      <c r="K25" s="17" t="s">
        <v>40</v>
      </c>
      <c r="L25" s="8" t="s">
        <v>51</v>
      </c>
      <c r="M25" s="17" t="s">
        <v>38</v>
      </c>
      <c r="N25" s="17" t="s">
        <v>45</v>
      </c>
      <c r="O25" s="17" t="s">
        <v>69</v>
      </c>
      <c r="P25" s="60" t="s">
        <v>52</v>
      </c>
      <c r="R25" s="36"/>
      <c r="S25" s="17" t="s">
        <v>40</v>
      </c>
      <c r="T25" s="8" t="s">
        <v>51</v>
      </c>
      <c r="U25" s="17" t="s">
        <v>39</v>
      </c>
      <c r="V25" s="17" t="s">
        <v>45</v>
      </c>
      <c r="W25" s="17" t="s">
        <v>69</v>
      </c>
      <c r="X25" s="60" t="s">
        <v>52</v>
      </c>
      <c r="Z25" s="11"/>
      <c r="AA25" s="8"/>
      <c r="AB25" s="17"/>
      <c r="AC25" s="17"/>
      <c r="AD25" s="17"/>
      <c r="AE25" s="17"/>
      <c r="AF25" s="60"/>
    </row>
    <row r="26" spans="2:32" ht="15.75" thickBot="1" x14ac:dyDescent="0.3">
      <c r="B26" s="11"/>
      <c r="C26" s="8"/>
      <c r="D26" s="8"/>
      <c r="E26" s="8">
        <v>0</v>
      </c>
      <c r="F26" s="8"/>
      <c r="G26" s="8"/>
      <c r="H26" s="9"/>
      <c r="J26" s="11" t="s">
        <v>81</v>
      </c>
      <c r="K26" s="40">
        <v>0</v>
      </c>
      <c r="L26" s="54"/>
      <c r="M26" s="77">
        <v>0</v>
      </c>
      <c r="N26" s="40">
        <f>$E$21</f>
        <v>6.2393741049462044</v>
      </c>
      <c r="O26" s="53">
        <f>SQRT(M26^2+N26^2)</f>
        <v>6.2393741049462044</v>
      </c>
      <c r="P26" s="61" t="e">
        <f>$C$28</f>
        <v>#DIV/0!</v>
      </c>
      <c r="R26" s="11" t="s">
        <v>81</v>
      </c>
      <c r="S26" s="40">
        <f>$C$21</f>
        <v>544.66</v>
      </c>
      <c r="T26" s="54"/>
      <c r="U26" s="77">
        <v>0</v>
      </c>
      <c r="V26" s="40">
        <f>$E$21</f>
        <v>6.2393741049462044</v>
      </c>
      <c r="W26" s="53">
        <f>SQRT(U26^2+V26^2)</f>
        <v>6.2393741049462044</v>
      </c>
      <c r="X26" s="61" t="e">
        <f>$C$28</f>
        <v>#DIV/0!</v>
      </c>
      <c r="Z26" s="11"/>
      <c r="AA26" s="8"/>
      <c r="AB26" s="17"/>
      <c r="AC26" s="17"/>
      <c r="AD26" s="17"/>
      <c r="AE26" s="17"/>
      <c r="AF26" s="60"/>
    </row>
    <row r="27" spans="2:32" x14ac:dyDescent="0.25">
      <c r="B27" s="198" t="s">
        <v>74</v>
      </c>
      <c r="C27" s="199"/>
      <c r="D27" s="199"/>
      <c r="E27" s="8"/>
      <c r="F27" s="8"/>
      <c r="G27" s="8"/>
      <c r="H27" s="9"/>
      <c r="J27" s="11" t="s">
        <v>73</v>
      </c>
      <c r="K27" s="40">
        <f>2*'Components and Fixtures'!$C$8</f>
        <v>27.49</v>
      </c>
      <c r="L27" s="84">
        <f>2*'Components and Fixtures'!$H$8</f>
        <v>1.0959999999999999E-4</v>
      </c>
      <c r="M27" s="40">
        <f>'Components and Fixtures'!$D$8-J22</f>
        <v>-3.0578000000000003</v>
      </c>
      <c r="N27" s="40" t="e">
        <f>'Components and Fixtures'!$F$8-L22</f>
        <v>#DIV/0!</v>
      </c>
      <c r="O27" s="53" t="e">
        <f t="shared" ref="O27" si="3">SQRT(M27^2+N27^2)</f>
        <v>#DIV/0!</v>
      </c>
      <c r="P27" s="61" t="e">
        <f>L27+(K27/1000)*(O27*'Components and Fixtures'!$C$3)^2</f>
        <v>#DIV/0!</v>
      </c>
      <c r="R27" s="11" t="s">
        <v>73</v>
      </c>
      <c r="S27" s="40">
        <f>2*'Components and Fixtures'!$C$8</f>
        <v>27.49</v>
      </c>
      <c r="T27" s="84">
        <f>2*'Components and Fixtures'!$G$8</f>
        <v>2.6599999999999999E-6</v>
      </c>
      <c r="U27" s="40">
        <f>'Components and Fixtures'!$E$9-'Components and Fixtures'!$E$9</f>
        <v>0</v>
      </c>
      <c r="V27" s="40">
        <f>'Components and Fixtures'!$F$8-T20</f>
        <v>0.60099999999999998</v>
      </c>
      <c r="W27" s="53">
        <f t="shared" ref="W27" si="4">SQRT(U27^2+V27^2)</f>
        <v>0.60099999999999998</v>
      </c>
      <c r="X27" s="61">
        <f>T27+(S27/1000)*(W27*'Components and Fixtures'!$C$3)^2</f>
        <v>9.0660616975283976E-6</v>
      </c>
      <c r="Z27" s="208" t="s">
        <v>76</v>
      </c>
      <c r="AA27" s="209"/>
      <c r="AB27" s="209"/>
      <c r="AC27" s="209"/>
      <c r="AD27" s="209"/>
      <c r="AE27" s="209"/>
      <c r="AF27" s="210"/>
    </row>
    <row r="28" spans="2:32" ht="15.75" thickBot="1" x14ac:dyDescent="0.3">
      <c r="B28" s="58" t="s">
        <v>31</v>
      </c>
      <c r="C28" s="66" t="e">
        <f>(E24*g*E23)/(E25^2)</f>
        <v>#DIV/0!</v>
      </c>
      <c r="D28" s="59" t="s">
        <v>64</v>
      </c>
      <c r="E28" s="13" t="e">
        <f>(E23*g*E24)*(1-E26^2)*(H7)^2*(2*PI())^-2*(B7)^-2</f>
        <v>#DIV/0!</v>
      </c>
      <c r="F28" s="13"/>
      <c r="G28" s="13"/>
      <c r="H28" s="15"/>
      <c r="J28" s="11" t="s">
        <v>65</v>
      </c>
      <c r="K28" s="40">
        <f>'Components and Fixtures'!$C$16</f>
        <v>2560.62</v>
      </c>
      <c r="L28" s="54"/>
      <c r="M28" s="54"/>
      <c r="N28" s="40" t="e">
        <f>'Components and Fixtures'!$F$16-L22</f>
        <v>#DIV/0!</v>
      </c>
      <c r="O28" s="55"/>
      <c r="P28" s="62"/>
      <c r="R28" s="11" t="s">
        <v>65</v>
      </c>
      <c r="S28" s="40">
        <f>'Components and Fixtures'!$C$16</f>
        <v>2560.62</v>
      </c>
      <c r="T28" s="54"/>
      <c r="U28" s="54"/>
      <c r="V28" s="40">
        <f>'Components and Fixtures'!$F$16-T20</f>
        <v>1.5549999999999999</v>
      </c>
      <c r="W28" s="55"/>
      <c r="X28" s="62"/>
      <c r="Z28" s="36"/>
      <c r="AA28" s="17" t="s">
        <v>40</v>
      </c>
      <c r="AB28" s="8" t="s">
        <v>51</v>
      </c>
      <c r="AC28" s="17" t="s">
        <v>39</v>
      </c>
      <c r="AD28" s="17" t="s">
        <v>45</v>
      </c>
      <c r="AE28" s="17" t="s">
        <v>69</v>
      </c>
      <c r="AF28" s="60" t="s">
        <v>52</v>
      </c>
    </row>
    <row r="29" spans="2:32" x14ac:dyDescent="0.25"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  <c r="Z29" s="11" t="s">
        <v>81</v>
      </c>
      <c r="AA29" s="40">
        <f>C18+C19/2</f>
        <v>291.685</v>
      </c>
      <c r="AB29" s="54"/>
      <c r="AC29" s="40" t="e">
        <f>AA35/2</f>
        <v>#DIV/0!</v>
      </c>
      <c r="AD29" s="40">
        <v>0</v>
      </c>
      <c r="AE29" s="53" t="e">
        <f>SQRT(AC29^2+AD29^2)</f>
        <v>#DIV/0!</v>
      </c>
      <c r="AF29" s="61" t="e">
        <f>AB29+(AA29/1000)*(AE29*'Components and Fixtures'!$C$3)^2</f>
        <v>#DIV/0!</v>
      </c>
    </row>
    <row r="30" spans="2:32" x14ac:dyDescent="0.25">
      <c r="B30" t="s">
        <v>108</v>
      </c>
      <c r="C30">
        <f>0.1/1000</f>
        <v>1E-4</v>
      </c>
      <c r="D30" t="e">
        <f>(g*E23)/(E25)^2</f>
        <v>#DIV/0!</v>
      </c>
      <c r="E30" t="e">
        <f>(C30*D30)^2</f>
        <v>#DIV/0!</v>
      </c>
      <c r="J30" s="11" t="s">
        <v>50</v>
      </c>
      <c r="K30" s="40">
        <f>SUM(K26:K28)</f>
        <v>2588.1099999999997</v>
      </c>
      <c r="L30" s="54"/>
      <c r="M30" s="77">
        <v>0</v>
      </c>
      <c r="N30" s="40" t="e">
        <f>SUMPRODUCT($K26:$K28,N26:N28)/SUM($K26:$K28)</f>
        <v>#DIV/0!</v>
      </c>
      <c r="O30" s="53" t="e">
        <f>SQRT(M30^2 + N30^2)</f>
        <v>#DIV/0!</v>
      </c>
      <c r="P30" s="62"/>
      <c r="R30" s="11" t="s">
        <v>50</v>
      </c>
      <c r="S30" s="40">
        <f>SUM(S26:S28)</f>
        <v>3132.77</v>
      </c>
      <c r="T30" s="54"/>
      <c r="U30" s="77">
        <v>0</v>
      </c>
      <c r="V30" s="40">
        <f>SUMPRODUCT($S26:$S28,V26:V28)/SUM($S26:$S28)</f>
        <v>2.3610488768725437</v>
      </c>
      <c r="W30" s="53">
        <f>SQRT(U30^2 + V30^2)</f>
        <v>2.3610488768725437</v>
      </c>
      <c r="X30" s="62"/>
      <c r="Z30" s="11" t="s">
        <v>73</v>
      </c>
      <c r="AA30" s="40">
        <f>2*'Components and Fixtures'!$C$9</f>
        <v>46.75</v>
      </c>
      <c r="AB30" s="84">
        <f>2*'Components and Fixtures'!$G$8</f>
        <v>2.6599999999999999E-6</v>
      </c>
      <c r="AC30" s="40">
        <f>'Components and Fixtures'!$E$9</f>
        <v>7.31</v>
      </c>
      <c r="AD30" s="40">
        <v>0</v>
      </c>
      <c r="AE30" s="53">
        <f t="shared" ref="AE30" si="5">SQRT(AC30^2+AD30^2)</f>
        <v>7.31</v>
      </c>
      <c r="AF30" s="61">
        <f>AB30+(AA30/1000)*(AE30*'Components and Fixtures'!$C$3)^2</f>
        <v>1.6143585024029996E-3</v>
      </c>
    </row>
    <row r="31" spans="2:32" x14ac:dyDescent="0.25">
      <c r="B31" t="s">
        <v>109</v>
      </c>
      <c r="C31">
        <f>0.25*in2m</f>
        <v>6.3499999999999997E-3</v>
      </c>
      <c r="D31" t="e">
        <f>(g*E24)/(E25^2)</f>
        <v>#DIV/0!</v>
      </c>
      <c r="E31" t="e">
        <f t="shared" ref="E31:E35" si="6">(C31*D31)^2</f>
        <v>#DIV/0!</v>
      </c>
      <c r="J31" s="11"/>
      <c r="K31" s="8"/>
      <c r="L31" s="8"/>
      <c r="M31" s="8"/>
      <c r="N31" s="8"/>
      <c r="O31" s="8"/>
      <c r="P31" s="9"/>
      <c r="R31" s="11"/>
      <c r="S31" s="8"/>
      <c r="T31" s="8"/>
      <c r="U31" s="8"/>
      <c r="V31" s="8"/>
      <c r="W31" s="8"/>
      <c r="X31" s="9"/>
      <c r="Z31" s="11" t="s">
        <v>65</v>
      </c>
      <c r="AA31" s="40">
        <f>'Components and Fixtures'!$C$16</f>
        <v>2560.62</v>
      </c>
      <c r="AB31" s="54"/>
      <c r="AC31" s="54"/>
      <c r="AD31" s="54"/>
      <c r="AE31" s="55"/>
      <c r="AF31" s="62"/>
    </row>
    <row r="32" spans="2:32" ht="15.75" thickBot="1" x14ac:dyDescent="0.3">
      <c r="B32" t="s">
        <v>33</v>
      </c>
      <c r="C32">
        <v>0</v>
      </c>
      <c r="D32" t="e">
        <f>(E23*E24)/(E25^2)</f>
        <v>#DIV/0!</v>
      </c>
      <c r="E32" t="e">
        <f t="shared" si="6"/>
        <v>#DIV/0!</v>
      </c>
      <c r="J32" s="12" t="str">
        <f>J28</f>
        <v>Body</v>
      </c>
      <c r="K32" s="66">
        <f>K28</f>
        <v>2560.62</v>
      </c>
      <c r="L32" s="67"/>
      <c r="M32" s="91">
        <f>SUMPRODUCT(K30,M30)/SUM(K30) - SUMPRODUCT($K27,M27)/SUM($K27)</f>
        <v>3.0578000000000007</v>
      </c>
      <c r="N32" s="67"/>
      <c r="O32" s="68" t="e">
        <f>SQRT(M32^2 + N28^2)</f>
        <v>#DIV/0!</v>
      </c>
      <c r="P32" s="69"/>
      <c r="R32" s="12" t="str">
        <f>R28</f>
        <v>Body</v>
      </c>
      <c r="S32" s="66">
        <f>S28</f>
        <v>2560.62</v>
      </c>
      <c r="T32" s="67"/>
      <c r="U32" s="91">
        <f>SUMPRODUCT(S30,U30)/SUM(S30) - SUMPRODUCT($S26:$S27,U26:U27)/SUM($S26:$S27)</f>
        <v>0</v>
      </c>
      <c r="V32" s="67"/>
      <c r="W32" s="68">
        <f>SQRT(U32^2 + V28^2)</f>
        <v>1.5549999999999999</v>
      </c>
      <c r="X32" s="69"/>
      <c r="Z32" s="11"/>
      <c r="AA32" s="8"/>
      <c r="AB32" s="8"/>
      <c r="AC32" s="8"/>
      <c r="AD32" s="8"/>
      <c r="AE32" s="8"/>
      <c r="AF32" s="9"/>
    </row>
    <row r="33" spans="2:32" ht="15.75" thickBot="1" x14ac:dyDescent="0.3">
      <c r="B33" t="s">
        <v>113</v>
      </c>
      <c r="C33">
        <v>0.01</v>
      </c>
      <c r="D33" t="e">
        <f>-2*(E23*g*E24)*(E26)*(H7)^2*(2*PI())^-2*(B7)^-2</f>
        <v>#DIV/0!</v>
      </c>
      <c r="E33" t="e">
        <f t="shared" si="6"/>
        <v>#DIV/0!</v>
      </c>
      <c r="J33" s="1"/>
      <c r="K33" s="2"/>
      <c r="L33" s="2"/>
      <c r="M33" s="2"/>
      <c r="N33" s="2"/>
      <c r="O33" s="2"/>
      <c r="P33" s="4"/>
      <c r="R33" s="1"/>
      <c r="S33" s="2"/>
      <c r="T33" s="2"/>
      <c r="U33" s="2"/>
      <c r="V33" s="2"/>
      <c r="W33" s="2"/>
      <c r="X33" s="4"/>
      <c r="Z33" s="11" t="s">
        <v>50</v>
      </c>
      <c r="AA33" s="40">
        <f>SUM(AA29:AA31)</f>
        <v>2899.0549999999998</v>
      </c>
      <c r="AB33" s="54"/>
      <c r="AC33" s="54"/>
      <c r="AD33" s="54"/>
      <c r="AE33" s="55"/>
      <c r="AF33" s="62"/>
    </row>
    <row r="34" spans="2:32" x14ac:dyDescent="0.25">
      <c r="B34" t="s">
        <v>114</v>
      </c>
      <c r="C34" s="123" t="e">
        <f>H8</f>
        <v>#DIV/0!</v>
      </c>
      <c r="D34" t="e">
        <f>2*(E23*g*E24)*(1-E26^2)*(H7)^1*(2*PI())^-2*(B7)^-2</f>
        <v>#DIV/0!</v>
      </c>
      <c r="E34" t="e">
        <f t="shared" si="6"/>
        <v>#DIV/0!</v>
      </c>
      <c r="J34" s="5" t="s">
        <v>71</v>
      </c>
      <c r="K34" s="40" t="e">
        <f>O30</f>
        <v>#DIV/0!</v>
      </c>
      <c r="L34" s="8" t="s">
        <v>63</v>
      </c>
      <c r="M34" s="8" t="e">
        <f>K34*in2m</f>
        <v>#DIV/0!</v>
      </c>
      <c r="N34" s="8"/>
      <c r="O34" s="8"/>
      <c r="P34" s="9"/>
      <c r="R34" s="5" t="s">
        <v>71</v>
      </c>
      <c r="S34" s="40">
        <f>W30</f>
        <v>2.3610488768725437</v>
      </c>
      <c r="T34" s="8" t="s">
        <v>63</v>
      </c>
      <c r="U34" s="8">
        <f>S34*in2m</f>
        <v>5.9970641472562605E-2</v>
      </c>
      <c r="V34" s="8"/>
      <c r="W34" s="8"/>
      <c r="X34" s="9"/>
      <c r="Z34" s="1"/>
      <c r="AA34" s="2"/>
      <c r="AB34" s="2"/>
      <c r="AC34" s="2"/>
      <c r="AD34" s="2"/>
      <c r="AE34" s="2"/>
      <c r="AF34" s="4"/>
    </row>
    <row r="35" spans="2:32" x14ac:dyDescent="0.25">
      <c r="B35" t="s">
        <v>115</v>
      </c>
      <c r="C35">
        <v>0</v>
      </c>
      <c r="D35" t="e">
        <f>-2*(E23*g*E24)*(1-E26^2)*(H7)^2*(2*PI())^-2*(B7)^-3</f>
        <v>#DIV/0!</v>
      </c>
      <c r="E35" t="e">
        <f t="shared" si="6"/>
        <v>#DIV/0!</v>
      </c>
      <c r="J35" s="5" t="s">
        <v>37</v>
      </c>
      <c r="K35" s="40">
        <f>K30</f>
        <v>2588.1099999999997</v>
      </c>
      <c r="L35" s="8" t="s">
        <v>34</v>
      </c>
      <c r="M35" s="8">
        <f>K35/1000</f>
        <v>2.5881099999999995</v>
      </c>
      <c r="N35" s="8"/>
      <c r="O35" s="8"/>
      <c r="P35" s="9"/>
      <c r="R35" s="5" t="s">
        <v>37</v>
      </c>
      <c r="S35" s="40">
        <f>S30</f>
        <v>3132.77</v>
      </c>
      <c r="T35" s="8" t="s">
        <v>34</v>
      </c>
      <c r="U35" s="8">
        <f>S35/1000</f>
        <v>3.1327699999999998</v>
      </c>
      <c r="V35" s="8"/>
      <c r="W35" s="8"/>
      <c r="X35" s="9"/>
      <c r="Z35" s="5" t="s">
        <v>5</v>
      </c>
      <c r="AA35" s="40" t="e">
        <f>AVERAGE(AA19:AA20)</f>
        <v>#DIV/0!</v>
      </c>
      <c r="AB35" s="8" t="s">
        <v>63</v>
      </c>
      <c r="AC35" s="8" t="e">
        <f>AA35*in2m</f>
        <v>#DIV/0!</v>
      </c>
      <c r="AD35" s="8"/>
      <c r="AE35" s="8"/>
      <c r="AF35" s="9"/>
    </row>
    <row r="36" spans="2:32" x14ac:dyDescent="0.25">
      <c r="J36" s="5" t="s">
        <v>25</v>
      </c>
      <c r="K36" s="88" t="e">
        <f>P12</f>
        <v>#DIV/0!</v>
      </c>
      <c r="L36" s="8" t="s">
        <v>60</v>
      </c>
      <c r="M36" s="8" t="e">
        <f>K36*2*PI()</f>
        <v>#DIV/0!</v>
      </c>
      <c r="N36" s="8"/>
      <c r="O36" s="8"/>
      <c r="P36" s="9"/>
      <c r="R36" s="5" t="s">
        <v>25</v>
      </c>
      <c r="S36" s="88" t="e">
        <f>X12</f>
        <v>#DIV/0!</v>
      </c>
      <c r="T36" s="8" t="s">
        <v>60</v>
      </c>
      <c r="U36" s="8" t="e">
        <f>S36*2*PI()</f>
        <v>#DIV/0!</v>
      </c>
      <c r="V36" s="8"/>
      <c r="W36" s="8"/>
      <c r="X36" s="9"/>
      <c r="Z36" s="5" t="s">
        <v>32</v>
      </c>
      <c r="AA36" s="40" t="e">
        <f>AVERAGE(AA17:AA18)</f>
        <v>#DIV/0!</v>
      </c>
      <c r="AB36" s="8" t="s">
        <v>63</v>
      </c>
      <c r="AC36" s="8" t="e">
        <f>AA36*in2m</f>
        <v>#DIV/0!</v>
      </c>
      <c r="AD36" s="8"/>
      <c r="AE36" s="8"/>
      <c r="AF36" s="9"/>
    </row>
    <row r="37" spans="2:32" x14ac:dyDescent="0.25">
      <c r="D37" t="s">
        <v>50</v>
      </c>
      <c r="E37" t="e">
        <f>SQRT(SUM(E30:E35))</f>
        <v>#DIV/0!</v>
      </c>
      <c r="F37" t="s">
        <v>119</v>
      </c>
      <c r="J37" s="11"/>
      <c r="K37" s="8"/>
      <c r="L37" s="8"/>
      <c r="M37" s="8"/>
      <c r="N37" s="8"/>
      <c r="O37" s="8"/>
      <c r="P37" s="9"/>
      <c r="R37" s="11"/>
      <c r="S37" s="8"/>
      <c r="T37" s="8"/>
      <c r="U37" s="8"/>
      <c r="V37" s="8"/>
      <c r="W37" s="8"/>
      <c r="X37" s="9"/>
      <c r="Z37" s="5" t="s">
        <v>37</v>
      </c>
      <c r="AA37" s="40">
        <f>AA33</f>
        <v>2899.0549999999998</v>
      </c>
      <c r="AB37" s="8" t="s">
        <v>34</v>
      </c>
      <c r="AC37" s="8">
        <f>AA37/1000</f>
        <v>2.8990549999999997</v>
      </c>
      <c r="AD37" s="8"/>
      <c r="AE37" s="8"/>
      <c r="AF37" s="9"/>
    </row>
    <row r="38" spans="2:32" x14ac:dyDescent="0.25">
      <c r="E38" s="174" t="e">
        <f>E37/C28</f>
        <v>#DIV/0!</v>
      </c>
      <c r="J38" s="198" t="s">
        <v>74</v>
      </c>
      <c r="K38" s="199"/>
      <c r="L38" s="199"/>
      <c r="M38" s="8"/>
      <c r="N38" s="8"/>
      <c r="O38" s="8"/>
      <c r="P38" s="9"/>
      <c r="R38" s="198" t="s">
        <v>74</v>
      </c>
      <c r="S38" s="199"/>
      <c r="T38" s="199"/>
      <c r="U38" s="8"/>
      <c r="V38" s="8"/>
      <c r="W38" s="8"/>
      <c r="X38" s="9"/>
      <c r="Z38" s="5" t="s">
        <v>25</v>
      </c>
      <c r="AA38" s="88" t="e">
        <f>AF13</f>
        <v>#DIV/0!</v>
      </c>
      <c r="AB38" s="8" t="s">
        <v>60</v>
      </c>
      <c r="AC38" s="8" t="e">
        <f>AA38*2*PI()</f>
        <v>#DIV/0!</v>
      </c>
      <c r="AD38" s="8"/>
      <c r="AE38" s="8"/>
      <c r="AF38" s="9"/>
    </row>
    <row r="39" spans="2:32" x14ac:dyDescent="0.25">
      <c r="J39" s="86" t="s">
        <v>31</v>
      </c>
      <c r="K39" s="40" t="e">
        <f>(K35/1000)*g*(K34*in2m)/(K36*2*PI())^2</f>
        <v>#DIV/0!</v>
      </c>
      <c r="L39" s="87" t="s">
        <v>64</v>
      </c>
      <c r="M39" s="8"/>
      <c r="N39" s="8"/>
      <c r="O39" s="8"/>
      <c r="P39" s="9"/>
      <c r="R39" s="86" t="s">
        <v>31</v>
      </c>
      <c r="S39" s="40" t="e">
        <f>(S35/1000)*g*(S34*in2m)/(S36*2*PI())^2</f>
        <v>#DIV/0!</v>
      </c>
      <c r="T39" s="87" t="s">
        <v>64</v>
      </c>
      <c r="U39" s="8"/>
      <c r="V39" s="8"/>
      <c r="W39" s="8"/>
      <c r="X39" s="9"/>
      <c r="Z39" s="11"/>
      <c r="AA39" s="8"/>
      <c r="AB39" s="8"/>
      <c r="AC39" s="8"/>
      <c r="AD39" s="8"/>
      <c r="AE39" s="8"/>
      <c r="AF39" s="9"/>
    </row>
    <row r="40" spans="2:32" x14ac:dyDescent="0.25">
      <c r="J40" s="11"/>
      <c r="K40" s="8"/>
      <c r="L40" s="8"/>
      <c r="M40" s="8"/>
      <c r="N40" s="8"/>
      <c r="O40" s="8"/>
      <c r="P40" s="9"/>
      <c r="R40" s="11"/>
      <c r="S40" s="8"/>
      <c r="T40" s="8"/>
      <c r="U40" s="8"/>
      <c r="V40" s="8"/>
      <c r="W40" s="8"/>
      <c r="X40" s="9"/>
      <c r="Z40" s="198" t="s">
        <v>74</v>
      </c>
      <c r="AA40" s="199"/>
      <c r="AB40" s="199"/>
      <c r="AC40" s="8"/>
      <c r="AD40" s="8"/>
      <c r="AE40" s="8"/>
      <c r="AF40" s="9"/>
    </row>
    <row r="41" spans="2:32" x14ac:dyDescent="0.25">
      <c r="J41" s="198" t="s">
        <v>96</v>
      </c>
      <c r="K41" s="199"/>
      <c r="L41" s="199"/>
      <c r="M41" s="8"/>
      <c r="N41" s="8"/>
      <c r="O41" s="8"/>
      <c r="P41" s="9"/>
      <c r="R41" s="198" t="s">
        <v>96</v>
      </c>
      <c r="S41" s="199"/>
      <c r="T41" s="199"/>
      <c r="U41" s="8"/>
      <c r="V41" s="8"/>
      <c r="W41" s="8"/>
      <c r="X41" s="9"/>
      <c r="Z41" s="86" t="s">
        <v>31</v>
      </c>
      <c r="AA41" s="40" t="e">
        <f>(AA37/1000)*g*(AA35*in2m)^2/((AA36*in2m)*(AA38*4*PI())^2)</f>
        <v>#DIV/0!</v>
      </c>
      <c r="AB41" s="87" t="s">
        <v>64</v>
      </c>
      <c r="AC41" s="8"/>
      <c r="AD41" s="8"/>
      <c r="AE41" s="8"/>
      <c r="AF41" s="9"/>
    </row>
    <row r="42" spans="2:32" x14ac:dyDescent="0.25">
      <c r="J42" s="86" t="s">
        <v>31</v>
      </c>
      <c r="K42" s="40" t="e">
        <f>K39-(P26+P27)</f>
        <v>#DIV/0!</v>
      </c>
      <c r="L42" s="87" t="s">
        <v>64</v>
      </c>
      <c r="M42" s="8"/>
      <c r="N42" s="8"/>
      <c r="O42" s="8"/>
      <c r="P42" s="9"/>
      <c r="R42" s="86" t="s">
        <v>31</v>
      </c>
      <c r="S42" s="40" t="e">
        <f>S39-(X26+X27)</f>
        <v>#DIV/0!</v>
      </c>
      <c r="T42" s="87" t="s">
        <v>64</v>
      </c>
      <c r="U42" s="8"/>
      <c r="V42" s="8"/>
      <c r="W42" s="8"/>
      <c r="X42" s="9"/>
      <c r="Z42" s="11"/>
      <c r="AA42" s="8"/>
      <c r="AB42" s="8"/>
      <c r="AC42" s="8"/>
      <c r="AD42" s="8"/>
      <c r="AE42" s="8"/>
      <c r="AF42" s="9"/>
    </row>
    <row r="43" spans="2:32" x14ac:dyDescent="0.25">
      <c r="J43" s="11"/>
      <c r="K43" s="8"/>
      <c r="L43" s="8"/>
      <c r="M43" s="8"/>
      <c r="N43" s="8"/>
      <c r="O43" s="8"/>
      <c r="P43" s="9"/>
      <c r="R43" s="11"/>
      <c r="S43" s="8"/>
      <c r="T43" s="8"/>
      <c r="U43" s="8"/>
      <c r="V43" s="8"/>
      <c r="W43" s="8"/>
      <c r="X43" s="9"/>
      <c r="Z43" s="198" t="s">
        <v>100</v>
      </c>
      <c r="AA43" s="199"/>
      <c r="AB43" s="199"/>
      <c r="AC43" s="8"/>
      <c r="AD43" s="8"/>
      <c r="AE43" s="8"/>
      <c r="AF43" s="9"/>
    </row>
    <row r="44" spans="2:32" ht="15.75" thickBot="1" x14ac:dyDescent="0.3">
      <c r="J44" s="198" t="s">
        <v>100</v>
      </c>
      <c r="K44" s="199"/>
      <c r="L44" s="199"/>
      <c r="M44" s="8"/>
      <c r="N44" s="8"/>
      <c r="O44" s="8"/>
      <c r="P44" s="9"/>
      <c r="R44" s="198" t="s">
        <v>100</v>
      </c>
      <c r="S44" s="199"/>
      <c r="T44" s="199"/>
      <c r="U44" s="8"/>
      <c r="V44" s="8"/>
      <c r="W44" s="8"/>
      <c r="X44" s="9"/>
      <c r="Z44" s="58" t="s">
        <v>31</v>
      </c>
      <c r="AA44" s="66" t="e">
        <f>AA41-(AF29+AF30)</f>
        <v>#DIV/0!</v>
      </c>
      <c r="AB44" s="59" t="s">
        <v>64</v>
      </c>
      <c r="AC44" s="13"/>
      <c r="AD44" s="13"/>
      <c r="AE44" s="13"/>
      <c r="AF44" s="15"/>
    </row>
    <row r="45" spans="2:32" ht="15.75" thickBot="1" x14ac:dyDescent="0.3">
      <c r="J45" s="58" t="s">
        <v>31</v>
      </c>
      <c r="K45" s="66" t="e">
        <f>K42-(K32/1000)*(O32*'Components and Fixtures'!C3)^2</f>
        <v>#DIV/0!</v>
      </c>
      <c r="L45" s="59" t="s">
        <v>64</v>
      </c>
      <c r="M45" s="13"/>
      <c r="N45" s="13"/>
      <c r="O45" s="13"/>
      <c r="P45" s="15"/>
      <c r="R45" s="58" t="s">
        <v>31</v>
      </c>
      <c r="S45" s="66" t="e">
        <f>S42-(S32/1000)*(W32*'Components and Fixtures'!$C$3)^2</f>
        <v>#DIV/0!</v>
      </c>
      <c r="T45" s="59" t="s">
        <v>64</v>
      </c>
      <c r="U45" s="13"/>
      <c r="V45" s="13"/>
      <c r="W45" s="13"/>
      <c r="X45" s="15"/>
    </row>
    <row r="46" spans="2:32" x14ac:dyDescent="0.25">
      <c r="Z46" t="s">
        <v>108</v>
      </c>
      <c r="AA46">
        <f>0.1/1000</f>
        <v>1E-4</v>
      </c>
      <c r="AB46" t="e">
        <f>(g*AC35)/(4*AC36*AC38^2) - (AC29*in2m)^2</f>
        <v>#DIV/0!</v>
      </c>
      <c r="AC46" t="e">
        <f>(AA46*AB46)^2</f>
        <v>#DIV/0!</v>
      </c>
    </row>
    <row r="47" spans="2:32" x14ac:dyDescent="0.25">
      <c r="J47" t="s">
        <v>108</v>
      </c>
      <c r="K47">
        <f>0.1/1000</f>
        <v>1E-4</v>
      </c>
      <c r="L47" t="e">
        <f>(g*N26*in2m)/(M36)^2</f>
        <v>#DIV/0!</v>
      </c>
      <c r="M47" t="e">
        <f>(K47*L47)^2</f>
        <v>#DIV/0!</v>
      </c>
      <c r="R47" t="s">
        <v>108</v>
      </c>
      <c r="S47">
        <f>0.1/1000</f>
        <v>1E-4</v>
      </c>
      <c r="T47" t="e">
        <f>(g*V26*in2m)/(U36)^2</f>
        <v>#DIV/0!</v>
      </c>
      <c r="U47" t="e">
        <f>(S47*T47)^2</f>
        <v>#DIV/0!</v>
      </c>
      <c r="Z47" t="s">
        <v>109</v>
      </c>
      <c r="AA47">
        <f>0.25*in2m</f>
        <v>6.3499999999999997E-3</v>
      </c>
      <c r="AB47" t="e">
        <f>-2*((AA29/1000)*AC29*in2m)</f>
        <v>#DIV/0!</v>
      </c>
      <c r="AC47" t="e">
        <f t="shared" ref="AC47" si="7">(AA47*AB47)^2</f>
        <v>#DIV/0!</v>
      </c>
    </row>
    <row r="48" spans="2:32" x14ac:dyDescent="0.25">
      <c r="J48" t="s">
        <v>109</v>
      </c>
      <c r="K48">
        <f>0.25*in2m</f>
        <v>6.3499999999999997E-3</v>
      </c>
      <c r="L48" t="e">
        <f>(g*K26/1000)/(M36^2)</f>
        <v>#DIV/0!</v>
      </c>
      <c r="M48" t="e">
        <f t="shared" ref="M48:M60" si="8">(K48*L48)^2</f>
        <v>#DIV/0!</v>
      </c>
      <c r="R48" t="s">
        <v>109</v>
      </c>
      <c r="S48">
        <f>0.25*in2m</f>
        <v>6.3499999999999997E-3</v>
      </c>
      <c r="T48" t="e">
        <f>(g*S26/1000)/(U36^2)</f>
        <v>#DIV/0!</v>
      </c>
      <c r="U48" t="e">
        <f t="shared" ref="U48:U60" si="9">(S48*T48)^2</f>
        <v>#DIV/0!</v>
      </c>
      <c r="Z48" t="s">
        <v>110</v>
      </c>
      <c r="AA48" t="e">
        <f>0.05*AF29</f>
        <v>#DIV/0!</v>
      </c>
      <c r="AB48">
        <f>-1</f>
        <v>-1</v>
      </c>
      <c r="AC48" t="e">
        <f t="shared" ref="AC48:AC59" si="10">(AA48*AB48)^2</f>
        <v>#DIV/0!</v>
      </c>
    </row>
    <row r="49" spans="10:30" x14ac:dyDescent="0.25">
      <c r="J49" t="s">
        <v>110</v>
      </c>
      <c r="K49" t="e">
        <f>E37</f>
        <v>#DIV/0!</v>
      </c>
      <c r="L49">
        <f>-1</f>
        <v>-1</v>
      </c>
      <c r="M49" t="e">
        <f t="shared" si="8"/>
        <v>#DIV/0!</v>
      </c>
      <c r="R49" t="s">
        <v>110</v>
      </c>
      <c r="S49" t="e">
        <f>E37</f>
        <v>#DIV/0!</v>
      </c>
      <c r="T49">
        <f>-1</f>
        <v>-1</v>
      </c>
      <c r="U49" t="e">
        <f t="shared" si="9"/>
        <v>#DIV/0!</v>
      </c>
      <c r="Z49" t="s">
        <v>120</v>
      </c>
      <c r="AA49">
        <f>0.1/1000</f>
        <v>1E-4</v>
      </c>
      <c r="AB49" t="e">
        <f>(g*AC35)/(4*AC36*AC38^2) - (AC30*in2m)^2</f>
        <v>#DIV/0!</v>
      </c>
      <c r="AC49" t="e">
        <f t="shared" si="10"/>
        <v>#DIV/0!</v>
      </c>
    </row>
    <row r="50" spans="10:30" x14ac:dyDescent="0.25">
      <c r="J50" t="s">
        <v>120</v>
      </c>
      <c r="K50">
        <f>0.1/1000</f>
        <v>1E-4</v>
      </c>
      <c r="L50" t="e">
        <f>(g*N27*in2m)/(M36^2)-(O27*in2m)^2</f>
        <v>#DIV/0!</v>
      </c>
      <c r="M50" t="e">
        <f t="shared" si="8"/>
        <v>#DIV/0!</v>
      </c>
      <c r="R50" t="s">
        <v>120</v>
      </c>
      <c r="S50">
        <f>0.1/1000</f>
        <v>1E-4</v>
      </c>
      <c r="T50" t="e">
        <f>(g*V27*in2m)/(U36^2)-(W27*in2m)^2</f>
        <v>#DIV/0!</v>
      </c>
      <c r="U50" t="e">
        <f t="shared" si="9"/>
        <v>#DIV/0!</v>
      </c>
      <c r="Z50" t="s">
        <v>112</v>
      </c>
      <c r="AA50">
        <f>0.015*in2m</f>
        <v>3.8099999999999999E-4</v>
      </c>
      <c r="AB50">
        <f>-2*((AA30/1000)*AC30*in2m)</f>
        <v>-1.7360518999999998E-2</v>
      </c>
      <c r="AC50">
        <f t="shared" si="10"/>
        <v>4.3749728299469182E-11</v>
      </c>
    </row>
    <row r="51" spans="10:30" x14ac:dyDescent="0.25">
      <c r="J51" t="s">
        <v>111</v>
      </c>
      <c r="K51">
        <f>0.015*in2m</f>
        <v>3.8099999999999999E-4</v>
      </c>
      <c r="L51" t="e">
        <f>-2*K27/1000*N27*in2m</f>
        <v>#DIV/0!</v>
      </c>
      <c r="M51" t="e">
        <f t="shared" si="8"/>
        <v>#DIV/0!</v>
      </c>
      <c r="R51" t="s">
        <v>111</v>
      </c>
      <c r="S51">
        <f>0.015*in2m</f>
        <v>3.8099999999999999E-4</v>
      </c>
      <c r="T51">
        <f>-2*S27/1000*V27*in2m</f>
        <v>-8.3929169199999977E-4</v>
      </c>
      <c r="U51">
        <f t="shared" si="9"/>
        <v>1.0225293901535816E-13</v>
      </c>
      <c r="Z51" t="s">
        <v>121</v>
      </c>
      <c r="AA51" s="124">
        <f>0.05*AB30</f>
        <v>1.3300000000000001E-7</v>
      </c>
      <c r="AB51">
        <f>-1</f>
        <v>-1</v>
      </c>
      <c r="AC51">
        <f t="shared" si="10"/>
        <v>1.7689000000000005E-14</v>
      </c>
    </row>
    <row r="52" spans="10:30" x14ac:dyDescent="0.25">
      <c r="J52" t="s">
        <v>112</v>
      </c>
      <c r="K52">
        <f>0.015*in2m</f>
        <v>3.8099999999999999E-4</v>
      </c>
      <c r="L52" t="e">
        <f>(g*K27/1000)/(M36^2)</f>
        <v>#DIV/0!</v>
      </c>
      <c r="M52" t="e">
        <f t="shared" si="8"/>
        <v>#DIV/0!</v>
      </c>
      <c r="R52" t="s">
        <v>112</v>
      </c>
      <c r="S52">
        <f>0.015*in2m</f>
        <v>3.8099999999999999E-4</v>
      </c>
      <c r="T52" t="e">
        <f>(g*S27/1000)/(U36^2)</f>
        <v>#DIV/0!</v>
      </c>
      <c r="U52" t="e">
        <f t="shared" si="9"/>
        <v>#DIV/0!</v>
      </c>
      <c r="Z52" t="s">
        <v>122</v>
      </c>
      <c r="AA52">
        <f>0.1/1000</f>
        <v>1E-4</v>
      </c>
      <c r="AB52" t="e">
        <f>(g*AC35)/(4*AC36*AC38^2) - (AE31*in2m)^2</f>
        <v>#DIV/0!</v>
      </c>
      <c r="AC52" t="e">
        <f t="shared" si="10"/>
        <v>#DIV/0!</v>
      </c>
    </row>
    <row r="53" spans="10:30" x14ac:dyDescent="0.25">
      <c r="J53" t="s">
        <v>121</v>
      </c>
      <c r="K53" s="124">
        <f>0.05*L27</f>
        <v>5.48E-6</v>
      </c>
      <c r="L53">
        <f>-1</f>
        <v>-1</v>
      </c>
      <c r="M53">
        <f t="shared" si="8"/>
        <v>3.0030400000000003E-11</v>
      </c>
      <c r="R53" t="s">
        <v>121</v>
      </c>
      <c r="S53" s="124">
        <f>0.05*T27</f>
        <v>1.3300000000000001E-7</v>
      </c>
      <c r="T53">
        <f>-1</f>
        <v>-1</v>
      </c>
      <c r="U53">
        <f t="shared" si="9"/>
        <v>1.7689000000000005E-14</v>
      </c>
      <c r="Z53" t="s">
        <v>124</v>
      </c>
      <c r="AA53">
        <f>(1/16 + 0.015)*in2m</f>
        <v>1.9684999999999998E-3</v>
      </c>
      <c r="AB53">
        <f>-2*((AA31/1000)*AC31*in2m)</f>
        <v>0</v>
      </c>
      <c r="AC53">
        <f t="shared" si="10"/>
        <v>0</v>
      </c>
    </row>
    <row r="54" spans="10:30" x14ac:dyDescent="0.25">
      <c r="J54" t="s">
        <v>122</v>
      </c>
      <c r="K54">
        <f>0.1/1000</f>
        <v>1E-4</v>
      </c>
      <c r="L54" t="e">
        <f>(g*N28*in2m)/(M36^2)-(O32*in2m)^2</f>
        <v>#DIV/0!</v>
      </c>
      <c r="M54" t="e">
        <f t="shared" si="8"/>
        <v>#DIV/0!</v>
      </c>
      <c r="R54" t="s">
        <v>122</v>
      </c>
      <c r="S54">
        <f>0.1/1000</f>
        <v>1E-4</v>
      </c>
      <c r="T54" t="e">
        <f>(g*V28*in2m)/(U36^2)-(W32*in2m)^2</f>
        <v>#DIV/0!</v>
      </c>
      <c r="U54" t="e">
        <f t="shared" si="9"/>
        <v>#DIV/0!</v>
      </c>
      <c r="Z54" t="s">
        <v>5</v>
      </c>
      <c r="AA54">
        <f>(1/16)*in2m</f>
        <v>1.5874999999999999E-3</v>
      </c>
      <c r="AB54" t="e">
        <f>(g*AC37)/(4*AC36*AC38^2)</f>
        <v>#DIV/0!</v>
      </c>
      <c r="AC54" t="e">
        <f t="shared" si="10"/>
        <v>#DIV/0!</v>
      </c>
    </row>
    <row r="55" spans="10:30" x14ac:dyDescent="0.25">
      <c r="J55" t="s">
        <v>123</v>
      </c>
      <c r="K55">
        <f>(1/16 + 0.015)*in2m</f>
        <v>1.9684999999999998E-3</v>
      </c>
      <c r="L55">
        <f>-2*K28/1000*M32*in2m</f>
        <v>-0.39775708286880007</v>
      </c>
      <c r="M55">
        <f t="shared" si="8"/>
        <v>6.1306522463475109E-7</v>
      </c>
      <c r="R55" t="s">
        <v>123</v>
      </c>
      <c r="S55">
        <f>(1/16 + 0.015)*in2m</f>
        <v>1.9684999999999998E-3</v>
      </c>
      <c r="T55">
        <f>-2*S28/1000*U32*in2m</f>
        <v>0</v>
      </c>
      <c r="U55">
        <f t="shared" si="9"/>
        <v>0</v>
      </c>
      <c r="Z55" t="s">
        <v>32</v>
      </c>
      <c r="AA55">
        <f>(1/16 + 0.015)*in2m</f>
        <v>1.9684999999999998E-3</v>
      </c>
      <c r="AB55" t="e">
        <f>-(g*AC37*AC35)/(4*AC36^2*AC38^2)</f>
        <v>#DIV/0!</v>
      </c>
      <c r="AC55" t="e">
        <f t="shared" si="10"/>
        <v>#DIV/0!</v>
      </c>
    </row>
    <row r="56" spans="10:30" x14ac:dyDescent="0.25">
      <c r="J56" t="s">
        <v>124</v>
      </c>
      <c r="K56">
        <f>(1/16 + 0.015)*in2m</f>
        <v>1.9684999999999998E-3</v>
      </c>
      <c r="L56" t="e">
        <f>(g*K28/1000)/(M36^2) - 2*(K28/1000)*(N28*in2m)</f>
        <v>#DIV/0!</v>
      </c>
      <c r="M56" t="e">
        <f t="shared" si="8"/>
        <v>#DIV/0!</v>
      </c>
      <c r="R56" t="s">
        <v>124</v>
      </c>
      <c r="S56">
        <f>(1/16 + 0.015)*in2m</f>
        <v>1.9684999999999998E-3</v>
      </c>
      <c r="T56" t="e">
        <f>(g*S28/1000)/(U36^2) - 2*(S28/1000)*(V28*in2m)</f>
        <v>#DIV/0!</v>
      </c>
      <c r="U56" t="e">
        <f t="shared" si="9"/>
        <v>#DIV/0!</v>
      </c>
      <c r="Z56" t="s">
        <v>33</v>
      </c>
      <c r="AA56">
        <v>0</v>
      </c>
      <c r="AB56" t="e">
        <f>(AC37*AC35)/(4*AC36*AC38^2)</f>
        <v>#DIV/0!</v>
      </c>
      <c r="AC56" t="e">
        <f t="shared" si="10"/>
        <v>#DIV/0!</v>
      </c>
    </row>
    <row r="57" spans="10:30" x14ac:dyDescent="0.25">
      <c r="J57" t="s">
        <v>33</v>
      </c>
      <c r="K57">
        <v>0</v>
      </c>
      <c r="L57" t="e">
        <f>(M35*M34)/(M36^2)</f>
        <v>#DIV/0!</v>
      </c>
      <c r="M57" t="e">
        <f t="shared" si="8"/>
        <v>#DIV/0!</v>
      </c>
      <c r="R57" t="s">
        <v>33</v>
      </c>
      <c r="S57">
        <v>0</v>
      </c>
      <c r="T57" t="e">
        <f>(U35*U34)/(U36^2)</f>
        <v>#DIV/0!</v>
      </c>
      <c r="U57" t="e">
        <f t="shared" si="9"/>
        <v>#DIV/0!</v>
      </c>
      <c r="Z57" t="s">
        <v>113</v>
      </c>
      <c r="AA57">
        <v>0.01</v>
      </c>
      <c r="AB57" t="e">
        <f>-2*((AC37*g*AC35)/(4*AC36))*(AC39)*(AF7)^2*(2*PI())^-2*(Z7)^-2</f>
        <v>#DIV/0!</v>
      </c>
      <c r="AC57" t="e">
        <f t="shared" si="10"/>
        <v>#DIV/0!</v>
      </c>
    </row>
    <row r="58" spans="10:30" x14ac:dyDescent="0.25">
      <c r="J58" t="s">
        <v>113</v>
      </c>
      <c r="K58">
        <v>0.01</v>
      </c>
      <c r="L58" t="e">
        <f>-2*(M35*g*M34)*(M37)*(P7)^2*(2*PI())^-2*(J7)^-2</f>
        <v>#DIV/0!</v>
      </c>
      <c r="M58" t="e">
        <f t="shared" si="8"/>
        <v>#DIV/0!</v>
      </c>
      <c r="R58" t="s">
        <v>113</v>
      </c>
      <c r="S58">
        <v>0.01</v>
      </c>
      <c r="T58" t="e">
        <f>-2*(U35*g*U34)*(U37)*(X7)^2*(2*PI())^-2*(R7)^-2</f>
        <v>#DIV/0!</v>
      </c>
      <c r="U58" t="e">
        <f t="shared" si="9"/>
        <v>#DIV/0!</v>
      </c>
      <c r="Z58" t="s">
        <v>114</v>
      </c>
      <c r="AA58" s="123" t="e">
        <f>AF8</f>
        <v>#DIV/0!</v>
      </c>
      <c r="AB58" t="e">
        <f>2*((AC37*g*AC35)/(4*AC36))*(1-AC39^2)*(AF7)^1*(2*PI())^-2*(Z7)^-2</f>
        <v>#DIV/0!</v>
      </c>
      <c r="AC58" t="e">
        <f t="shared" si="10"/>
        <v>#DIV/0!</v>
      </c>
    </row>
    <row r="59" spans="10:30" x14ac:dyDescent="0.25">
      <c r="J59" t="s">
        <v>114</v>
      </c>
      <c r="K59" s="123" t="e">
        <f>P8</f>
        <v>#DIV/0!</v>
      </c>
      <c r="L59" t="e">
        <f>2*(M35*g*M34)*(1-M37^2)*(P7)^1*(2*PI())^-2*(J7)^-2</f>
        <v>#DIV/0!</v>
      </c>
      <c r="M59" t="e">
        <f t="shared" si="8"/>
        <v>#DIV/0!</v>
      </c>
      <c r="R59" t="s">
        <v>114</v>
      </c>
      <c r="S59" s="123" t="e">
        <f>X8</f>
        <v>#DIV/0!</v>
      </c>
      <c r="T59" t="e">
        <f>2*(U35*g*U34)*(1-U37^2)*(X7)^1*(2*PI())^-2*(R7)^-2</f>
        <v>#DIV/0!</v>
      </c>
      <c r="U59" t="e">
        <f t="shared" si="9"/>
        <v>#DIV/0!</v>
      </c>
      <c r="Z59" t="s">
        <v>115</v>
      </c>
      <c r="AA59">
        <v>0</v>
      </c>
      <c r="AB59" t="e">
        <f>-2*((AC37*g*AC35)/(4*AC36))*(1-AC39^2)*(AF7)^2*(2*PI())^-2*(Z7)^-3</f>
        <v>#DIV/0!</v>
      </c>
      <c r="AC59" t="e">
        <f t="shared" si="10"/>
        <v>#DIV/0!</v>
      </c>
    </row>
    <row r="60" spans="10:30" x14ac:dyDescent="0.25">
      <c r="J60" t="s">
        <v>115</v>
      </c>
      <c r="K60">
        <v>0</v>
      </c>
      <c r="L60" t="e">
        <f>-2*(M35*g*M34)*(1-M37^2)*(P7)^2*(2*PI())^-2*(J7)^-3</f>
        <v>#DIV/0!</v>
      </c>
      <c r="M60" t="e">
        <f t="shared" si="8"/>
        <v>#DIV/0!</v>
      </c>
      <c r="R60" t="s">
        <v>115</v>
      </c>
      <c r="S60">
        <v>0</v>
      </c>
      <c r="T60" t="e">
        <f>-2*(U35*g*U34)*(1-U37^2)*(X7)^2*(2*PI())^-2*(R7)^-3</f>
        <v>#DIV/0!</v>
      </c>
      <c r="U60" t="e">
        <f t="shared" si="9"/>
        <v>#DIV/0!</v>
      </c>
    </row>
    <row r="61" spans="10:30" x14ac:dyDescent="0.25">
      <c r="AB61" t="s">
        <v>50</v>
      </c>
      <c r="AC61" t="e">
        <f>SQRT(SUM(AC46:AC59))</f>
        <v>#DIV/0!</v>
      </c>
      <c r="AD61" t="s">
        <v>119</v>
      </c>
    </row>
    <row r="62" spans="10:30" x14ac:dyDescent="0.25">
      <c r="L62" t="s">
        <v>50</v>
      </c>
      <c r="M62" t="e">
        <f>SQRT(SUM(M47:M60))</f>
        <v>#DIV/0!</v>
      </c>
      <c r="N62" t="s">
        <v>119</v>
      </c>
      <c r="T62" t="s">
        <v>50</v>
      </c>
      <c r="U62" t="e">
        <f>SQRT(SUM(U47:U60))</f>
        <v>#DIV/0!</v>
      </c>
      <c r="V62" t="s">
        <v>119</v>
      </c>
      <c r="AC62" s="174" t="e">
        <f>AC61/AA44</f>
        <v>#DIV/0!</v>
      </c>
    </row>
    <row r="63" spans="10:30" x14ac:dyDescent="0.25">
      <c r="M63" s="174" t="e">
        <f>M62/K45</f>
        <v>#DIV/0!</v>
      </c>
      <c r="U63" s="174" t="e">
        <f>U62/S45</f>
        <v>#DIV/0!</v>
      </c>
    </row>
  </sheetData>
  <mergeCells count="36">
    <mergeCell ref="Z27:AF27"/>
    <mergeCell ref="Z5:AF5"/>
    <mergeCell ref="AA6:AC6"/>
    <mergeCell ref="AE6:AF6"/>
    <mergeCell ref="AE12:AF12"/>
    <mergeCell ref="Z16:AF16"/>
    <mergeCell ref="Z3:AF3"/>
    <mergeCell ref="J44:L44"/>
    <mergeCell ref="R3:X3"/>
    <mergeCell ref="R5:X5"/>
    <mergeCell ref="S6:U6"/>
    <mergeCell ref="W6:X6"/>
    <mergeCell ref="W11:X11"/>
    <mergeCell ref="J38:L38"/>
    <mergeCell ref="J3:P3"/>
    <mergeCell ref="R15:X15"/>
    <mergeCell ref="R24:X24"/>
    <mergeCell ref="R38:T38"/>
    <mergeCell ref="R41:T41"/>
    <mergeCell ref="R44:T44"/>
    <mergeCell ref="Z40:AB40"/>
    <mergeCell ref="Z43:AB43"/>
    <mergeCell ref="B3:H3"/>
    <mergeCell ref="J41:L41"/>
    <mergeCell ref="J5:P5"/>
    <mergeCell ref="K6:M6"/>
    <mergeCell ref="O6:P6"/>
    <mergeCell ref="O11:P11"/>
    <mergeCell ref="J15:P15"/>
    <mergeCell ref="J24:P24"/>
    <mergeCell ref="C6:E6"/>
    <mergeCell ref="B5:H5"/>
    <mergeCell ref="G6:H6"/>
    <mergeCell ref="G11:H11"/>
    <mergeCell ref="B27:D27"/>
    <mergeCell ref="B15:H15"/>
  </mergeCells>
  <conditionalFormatting sqref="M47:M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U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8:AC59 AC4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workbookViewId="0">
      <selection activeCell="U18" sqref="U18"/>
    </sheetView>
  </sheetViews>
  <sheetFormatPr defaultColWidth="8.85546875" defaultRowHeight="15" x14ac:dyDescent="0.25"/>
  <cols>
    <col min="1" max="1" width="3" customWidth="1"/>
    <col min="2" max="2" width="13.42578125" customWidth="1"/>
    <col min="5" max="5" width="9" customWidth="1"/>
    <col min="16" max="16" width="16.7109375" customWidth="1"/>
  </cols>
  <sheetData>
    <row r="1" spans="1:24" x14ac:dyDescent="0.25">
      <c r="A1" t="s">
        <v>28</v>
      </c>
      <c r="B1" t="s">
        <v>140</v>
      </c>
    </row>
    <row r="2" spans="1:24" ht="15.75" thickBot="1" x14ac:dyDescent="0.3"/>
    <row r="3" spans="1:24" ht="20.25" x14ac:dyDescent="0.3">
      <c r="B3" s="195" t="s">
        <v>6</v>
      </c>
      <c r="C3" s="196"/>
      <c r="D3" s="196"/>
      <c r="E3" s="196"/>
      <c r="F3" s="196"/>
      <c r="G3" s="196"/>
      <c r="H3" s="197"/>
      <c r="J3" s="195" t="s">
        <v>23</v>
      </c>
      <c r="K3" s="196"/>
      <c r="L3" s="196"/>
      <c r="M3" s="196"/>
      <c r="N3" s="196"/>
      <c r="O3" s="196"/>
      <c r="P3" s="197"/>
      <c r="R3" s="195" t="s">
        <v>102</v>
      </c>
      <c r="S3" s="196"/>
      <c r="T3" s="196"/>
      <c r="U3" s="196"/>
      <c r="V3" s="196"/>
      <c r="W3" s="196"/>
      <c r="X3" s="197"/>
    </row>
    <row r="4" spans="1:24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</row>
    <row r="5" spans="1:24" ht="15.75" thickBot="1" x14ac:dyDescent="0.3">
      <c r="B5" s="200" t="s">
        <v>66</v>
      </c>
      <c r="C5" s="201"/>
      <c r="D5" s="201"/>
      <c r="E5" s="201"/>
      <c r="F5" s="201"/>
      <c r="G5" s="201"/>
      <c r="H5" s="202"/>
      <c r="J5" s="200" t="s">
        <v>66</v>
      </c>
      <c r="K5" s="201"/>
      <c r="L5" s="201"/>
      <c r="M5" s="201"/>
      <c r="N5" s="201"/>
      <c r="O5" s="201"/>
      <c r="P5" s="202"/>
      <c r="R5" s="200" t="s">
        <v>66</v>
      </c>
      <c r="S5" s="201"/>
      <c r="T5" s="201"/>
      <c r="U5" s="201"/>
      <c r="V5" s="201"/>
      <c r="W5" s="201"/>
      <c r="X5" s="202"/>
    </row>
    <row r="6" spans="1:24" ht="15.75" thickBot="1" x14ac:dyDescent="0.3">
      <c r="B6" s="37" t="s">
        <v>35</v>
      </c>
      <c r="C6" s="203" t="s">
        <v>67</v>
      </c>
      <c r="D6" s="204"/>
      <c r="E6" s="204"/>
      <c r="F6" s="18"/>
      <c r="G6" s="206" t="s">
        <v>68</v>
      </c>
      <c r="H6" s="207"/>
      <c r="J6" s="37" t="s">
        <v>35</v>
      </c>
      <c r="K6" s="203" t="s">
        <v>67</v>
      </c>
      <c r="L6" s="204"/>
      <c r="M6" s="205"/>
      <c r="N6" s="3"/>
      <c r="O6" s="206" t="s">
        <v>68</v>
      </c>
      <c r="P6" s="207"/>
      <c r="R6" s="37" t="s">
        <v>35</v>
      </c>
      <c r="S6" s="203" t="s">
        <v>67</v>
      </c>
      <c r="T6" s="204"/>
      <c r="U6" s="205"/>
      <c r="V6" s="3"/>
      <c r="W6" s="206" t="s">
        <v>68</v>
      </c>
      <c r="X6" s="207"/>
    </row>
    <row r="7" spans="1:24" ht="15.75" thickBot="1" x14ac:dyDescent="0.3">
      <c r="B7" s="41">
        <v>20</v>
      </c>
      <c r="C7" s="190" t="s">
        <v>139</v>
      </c>
      <c r="D7" s="32" t="s">
        <v>56</v>
      </c>
      <c r="E7" s="32"/>
      <c r="F7" s="33"/>
      <c r="G7" s="64" t="s">
        <v>57</v>
      </c>
      <c r="H7" s="51">
        <f>AVERAGE(C9,D8:D10)</f>
        <v>33.387500000000003</v>
      </c>
      <c r="J7" s="41">
        <v>20</v>
      </c>
      <c r="K7" s="19" t="s">
        <v>139</v>
      </c>
      <c r="L7" s="32" t="s">
        <v>56</v>
      </c>
      <c r="M7" s="33"/>
      <c r="N7" s="6"/>
      <c r="O7" s="64" t="s">
        <v>57</v>
      </c>
      <c r="P7" s="51">
        <f>AVERAGE(K9:K10,L8:L10)</f>
        <v>136.39000000000001</v>
      </c>
      <c r="R7" s="41">
        <v>10</v>
      </c>
      <c r="S7" s="190" t="s">
        <v>139</v>
      </c>
      <c r="T7" s="32" t="s">
        <v>56</v>
      </c>
      <c r="U7" s="33"/>
      <c r="V7" s="6"/>
      <c r="W7" s="64" t="s">
        <v>57</v>
      </c>
      <c r="X7" s="51">
        <f>AVERAGE(S8:S9,T8:T10)</f>
        <v>51.565555555555555</v>
      </c>
    </row>
    <row r="8" spans="1:24" ht="15.75" thickBot="1" x14ac:dyDescent="0.3">
      <c r="B8" s="21" t="s">
        <v>53</v>
      </c>
      <c r="C8" s="211">
        <v>33.6</v>
      </c>
      <c r="D8" s="43">
        <v>33.340000000000003</v>
      </c>
      <c r="E8" s="175"/>
      <c r="F8" s="182"/>
      <c r="G8" s="19" t="s">
        <v>58</v>
      </c>
      <c r="H8" s="52">
        <f>STDEVA(C9,D8:D10)</f>
        <v>4.1129875597507796E-2</v>
      </c>
      <c r="J8" s="21" t="s">
        <v>53</v>
      </c>
      <c r="K8" s="211">
        <v>137.68</v>
      </c>
      <c r="L8" s="46">
        <v>136.36000000000001</v>
      </c>
      <c r="M8" s="93"/>
      <c r="N8" s="34"/>
      <c r="O8" s="19" t="s">
        <v>58</v>
      </c>
      <c r="P8" s="52">
        <f>STDEVA(K9:K10,L8:L10)</f>
        <v>0.11269427669584546</v>
      </c>
      <c r="R8" s="21" t="s">
        <v>53</v>
      </c>
      <c r="S8" s="42">
        <v>51.63</v>
      </c>
      <c r="T8" s="43">
        <v>51.67</v>
      </c>
      <c r="U8" s="93"/>
      <c r="V8" s="34"/>
      <c r="W8" s="19" t="s">
        <v>58</v>
      </c>
      <c r="X8" s="52">
        <f>STDEVA(S8:S9,T8:T10)</f>
        <v>0.10063072696684987</v>
      </c>
    </row>
    <row r="9" spans="1:24" x14ac:dyDescent="0.25">
      <c r="B9" s="22" t="s">
        <v>54</v>
      </c>
      <c r="C9" s="45">
        <v>33.380000000000003</v>
      </c>
      <c r="D9" s="46">
        <v>33.44</v>
      </c>
      <c r="E9" s="34"/>
      <c r="F9" s="183"/>
      <c r="G9" s="8"/>
      <c r="H9" s="9"/>
      <c r="J9" s="22" t="s">
        <v>54</v>
      </c>
      <c r="K9" s="45">
        <v>136.56</v>
      </c>
      <c r="L9" s="46">
        <v>136.31</v>
      </c>
      <c r="M9" s="94"/>
      <c r="N9" s="34"/>
      <c r="O9" s="8"/>
      <c r="P9" s="9"/>
      <c r="R9" s="22" t="s">
        <v>54</v>
      </c>
      <c r="S9" s="45">
        <v>51.61</v>
      </c>
      <c r="T9" s="46">
        <f>10/9 * 46.33</f>
        <v>51.477777777777781</v>
      </c>
      <c r="U9" s="94"/>
      <c r="V9" s="34"/>
      <c r="W9" s="8"/>
      <c r="X9" s="9"/>
    </row>
    <row r="10" spans="1:24" ht="15.75" thickBot="1" x14ac:dyDescent="0.3">
      <c r="B10" s="22" t="s">
        <v>55</v>
      </c>
      <c r="C10" s="213">
        <v>33.24</v>
      </c>
      <c r="D10" s="49">
        <v>33.39</v>
      </c>
      <c r="E10" s="34"/>
      <c r="F10" s="183"/>
      <c r="G10" s="8"/>
      <c r="H10" s="9"/>
      <c r="J10" s="23" t="s">
        <v>55</v>
      </c>
      <c r="K10" s="48">
        <v>136.44</v>
      </c>
      <c r="L10" s="49">
        <v>136.28</v>
      </c>
      <c r="M10" s="95"/>
      <c r="N10" s="34"/>
      <c r="O10" s="8"/>
      <c r="P10" s="9"/>
      <c r="R10" s="23" t="s">
        <v>55</v>
      </c>
      <c r="S10" s="213">
        <v>51.86</v>
      </c>
      <c r="T10" s="49">
        <v>51.44</v>
      </c>
      <c r="U10" s="95"/>
      <c r="V10" s="34"/>
      <c r="W10" s="8"/>
      <c r="X10" s="9"/>
    </row>
    <row r="11" spans="1:24" ht="15.75" thickBot="1" x14ac:dyDescent="0.3">
      <c r="B11" s="11"/>
      <c r="C11" s="8"/>
      <c r="D11" s="8"/>
      <c r="E11" s="8"/>
      <c r="F11" s="8"/>
      <c r="G11" s="206" t="s">
        <v>59</v>
      </c>
      <c r="H11" s="207"/>
      <c r="J11" s="11"/>
      <c r="K11" s="8"/>
      <c r="L11" s="8"/>
      <c r="M11" s="8"/>
      <c r="N11" s="8"/>
      <c r="O11" s="206" t="s">
        <v>59</v>
      </c>
      <c r="P11" s="207"/>
      <c r="R11" s="11"/>
      <c r="S11" s="8"/>
      <c r="T11" s="8"/>
      <c r="U11" s="8"/>
      <c r="V11" s="8"/>
      <c r="W11" s="206" t="s">
        <v>59</v>
      </c>
      <c r="X11" s="207"/>
    </row>
    <row r="12" spans="1:24" x14ac:dyDescent="0.25">
      <c r="B12" s="24" t="s">
        <v>57</v>
      </c>
      <c r="C12" s="78">
        <f>AVERAGE(C8:C10)</f>
        <v>33.406666666666666</v>
      </c>
      <c r="D12" s="79">
        <f>AVERAGE(D8:D10)</f>
        <v>33.39</v>
      </c>
      <c r="E12" s="79"/>
      <c r="F12" s="80"/>
      <c r="G12" s="36" t="s">
        <v>57</v>
      </c>
      <c r="H12" s="51">
        <f>B7/H7</f>
        <v>0.59902658180456758</v>
      </c>
      <c r="J12" s="24" t="s">
        <v>57</v>
      </c>
      <c r="K12" s="78">
        <f>AVERAGE(K8:K10)</f>
        <v>136.89333333333335</v>
      </c>
      <c r="L12" s="79">
        <f>AVERAGE(L8:L10)</f>
        <v>136.31666666666669</v>
      </c>
      <c r="M12" s="30"/>
      <c r="N12" s="8"/>
      <c r="O12" s="36" t="s">
        <v>57</v>
      </c>
      <c r="P12" s="51">
        <f>J7/P7</f>
        <v>0.14663831659212551</v>
      </c>
      <c r="R12" s="24" t="s">
        <v>57</v>
      </c>
      <c r="S12" s="78">
        <f>AVERAGE(S8:S10)</f>
        <v>51.70000000000001</v>
      </c>
      <c r="T12" s="78">
        <f>AVERAGE(T8:T10)</f>
        <v>51.529259259259256</v>
      </c>
      <c r="U12" s="30"/>
      <c r="V12" s="8"/>
      <c r="W12" s="36" t="s">
        <v>57</v>
      </c>
      <c r="X12" s="51">
        <f>R7/X7</f>
        <v>0.19392790191557671</v>
      </c>
    </row>
    <row r="13" spans="1:24" ht="15.75" thickBot="1" x14ac:dyDescent="0.3">
      <c r="B13" s="25" t="s">
        <v>58</v>
      </c>
      <c r="C13" s="81">
        <f>STDEVA(C8:C10)</f>
        <v>0.18147543451754899</v>
      </c>
      <c r="D13" s="82">
        <f>STDEVA(D8:D10)</f>
        <v>4.9999999999997158E-2</v>
      </c>
      <c r="E13" s="82"/>
      <c r="F13" s="83"/>
      <c r="G13" s="31" t="s">
        <v>58</v>
      </c>
      <c r="H13" s="52">
        <f>(H8/H7)*H12</f>
        <v>7.3793751521444221E-4</v>
      </c>
      <c r="J13" s="25" t="s">
        <v>58</v>
      </c>
      <c r="K13" s="81">
        <f>STDEVA(K8:K10)</f>
        <v>0.6839103255057194</v>
      </c>
      <c r="L13" s="82">
        <f>STDEVA(L8:L10)</f>
        <v>4.0414518843280414E-2</v>
      </c>
      <c r="M13" s="33"/>
      <c r="N13" s="33"/>
      <c r="O13" s="31" t="s">
        <v>58</v>
      </c>
      <c r="P13" s="52">
        <f>(P8/P7)*P12</f>
        <v>1.2116210150484621E-4</v>
      </c>
      <c r="R13" s="25" t="s">
        <v>58</v>
      </c>
      <c r="S13" s="81">
        <f>STDEVA(S8:S10)</f>
        <v>0.13892443989449726</v>
      </c>
      <c r="T13" s="81">
        <f>STDEVA(T8:T10)</f>
        <v>0.12334000649280973</v>
      </c>
      <c r="U13" s="33"/>
      <c r="V13" s="33"/>
      <c r="W13" s="31" t="s">
        <v>58</v>
      </c>
      <c r="X13" s="52">
        <f>(X8/X7)*X12</f>
        <v>3.7845235135487509E-4</v>
      </c>
    </row>
    <row r="14" spans="1:24" ht="15.75" thickBot="1" x14ac:dyDescent="0.3">
      <c r="B14" s="36"/>
      <c r="C14" s="17"/>
      <c r="D14" s="17"/>
      <c r="E14" s="17"/>
      <c r="F14" s="17"/>
      <c r="G14" s="17"/>
      <c r="H14" s="60"/>
      <c r="J14" s="36"/>
      <c r="K14" s="17"/>
      <c r="L14" s="17"/>
      <c r="M14" s="17"/>
      <c r="N14" s="17"/>
      <c r="O14" s="17"/>
      <c r="P14" s="173">
        <f>P13/P12</f>
        <v>8.2626495121229887E-4</v>
      </c>
      <c r="R14" s="36"/>
      <c r="S14" s="17"/>
      <c r="T14" s="17"/>
      <c r="U14" s="17"/>
      <c r="V14" s="17"/>
      <c r="W14" s="17"/>
      <c r="X14" s="173">
        <f>X13/X12</f>
        <v>1.9515105748920444E-3</v>
      </c>
    </row>
    <row r="15" spans="1:24" x14ac:dyDescent="0.25">
      <c r="B15" s="208" t="s">
        <v>77</v>
      </c>
      <c r="C15" s="209"/>
      <c r="D15" s="209"/>
      <c r="E15" s="209"/>
      <c r="F15" s="209"/>
      <c r="G15" s="209"/>
      <c r="H15" s="210"/>
      <c r="J15" s="208" t="s">
        <v>77</v>
      </c>
      <c r="K15" s="209"/>
      <c r="L15" s="209"/>
      <c r="M15" s="209"/>
      <c r="N15" s="209"/>
      <c r="O15" s="209"/>
      <c r="P15" s="210"/>
      <c r="R15" s="208" t="s">
        <v>77</v>
      </c>
      <c r="S15" s="209"/>
      <c r="T15" s="209"/>
      <c r="U15" s="209"/>
      <c r="V15" s="209"/>
      <c r="W15" s="209"/>
      <c r="X15" s="210"/>
    </row>
    <row r="16" spans="1:24" x14ac:dyDescent="0.25">
      <c r="B16" s="36" t="s">
        <v>7</v>
      </c>
      <c r="C16" s="191">
        <v>1.5</v>
      </c>
      <c r="D16" s="17" t="s">
        <v>63</v>
      </c>
      <c r="E16" s="17"/>
      <c r="F16" s="17"/>
      <c r="G16" s="17"/>
      <c r="H16" s="63"/>
      <c r="J16" s="36" t="s">
        <v>1</v>
      </c>
      <c r="K16" s="89">
        <v>42</v>
      </c>
      <c r="L16" s="17" t="s">
        <v>63</v>
      </c>
      <c r="M16" s="17"/>
      <c r="N16" s="17"/>
      <c r="O16" s="17"/>
      <c r="P16" s="60"/>
      <c r="R16" s="36" t="s">
        <v>1</v>
      </c>
      <c r="S16" s="89">
        <f>26+5/8</f>
        <v>26.625</v>
      </c>
      <c r="T16" s="17" t="s">
        <v>63</v>
      </c>
      <c r="U16" s="17"/>
      <c r="V16" s="17"/>
      <c r="W16" s="17"/>
      <c r="X16" s="60"/>
    </row>
    <row r="17" spans="2:24" x14ac:dyDescent="0.25">
      <c r="B17" s="36" t="s">
        <v>8</v>
      </c>
      <c r="C17" s="89">
        <v>0.23300000000000001</v>
      </c>
      <c r="D17" s="17" t="s">
        <v>63</v>
      </c>
      <c r="E17" s="17"/>
      <c r="F17" s="212"/>
      <c r="G17" s="17"/>
      <c r="H17" s="60"/>
      <c r="J17" s="36" t="s">
        <v>2</v>
      </c>
      <c r="K17" s="89">
        <v>42</v>
      </c>
      <c r="L17" s="17" t="s">
        <v>63</v>
      </c>
      <c r="M17" s="17"/>
      <c r="N17" s="212"/>
      <c r="O17" s="17"/>
      <c r="P17" s="60"/>
      <c r="R17" s="36" t="s">
        <v>2</v>
      </c>
      <c r="S17" s="89">
        <f>26+5/8</f>
        <v>26.625</v>
      </c>
      <c r="T17" s="17" t="s">
        <v>63</v>
      </c>
      <c r="U17" s="17"/>
      <c r="V17" s="212"/>
      <c r="W17" s="17"/>
      <c r="X17" s="60"/>
    </row>
    <row r="18" spans="2:24" x14ac:dyDescent="0.25">
      <c r="B18" s="36"/>
      <c r="C18" s="17"/>
      <c r="D18" s="17"/>
      <c r="E18" s="17"/>
      <c r="F18" s="17"/>
      <c r="G18" s="17"/>
      <c r="H18" s="60"/>
      <c r="J18" s="36" t="s">
        <v>126</v>
      </c>
      <c r="K18" s="89">
        <f>16+11/16</f>
        <v>16.6875</v>
      </c>
      <c r="L18" s="17" t="s">
        <v>63</v>
      </c>
      <c r="M18" s="17"/>
      <c r="N18" s="17"/>
      <c r="O18" s="17"/>
      <c r="P18" s="60"/>
      <c r="R18" s="36" t="s">
        <v>126</v>
      </c>
      <c r="S18" s="89">
        <f>16+5/16</f>
        <v>16.3125</v>
      </c>
      <c r="T18" s="17" t="s">
        <v>63</v>
      </c>
      <c r="U18" s="17"/>
      <c r="V18" s="17"/>
      <c r="W18" s="17"/>
      <c r="X18" s="60"/>
    </row>
    <row r="19" spans="2:24" x14ac:dyDescent="0.25">
      <c r="B19" s="11" t="s">
        <v>92</v>
      </c>
      <c r="C19" s="8"/>
      <c r="D19" s="17"/>
      <c r="E19" s="17"/>
      <c r="F19" s="17"/>
      <c r="G19" s="17"/>
      <c r="H19" s="60"/>
      <c r="J19" s="36" t="s">
        <v>127</v>
      </c>
      <c r="K19" s="89">
        <f>16+11/16</f>
        <v>16.6875</v>
      </c>
      <c r="L19" s="17" t="s">
        <v>63</v>
      </c>
      <c r="M19" s="17"/>
      <c r="N19" s="17"/>
      <c r="O19" s="17"/>
      <c r="P19" s="60"/>
      <c r="R19" s="36" t="s">
        <v>127</v>
      </c>
      <c r="S19" s="89">
        <f>16+5/16</f>
        <v>16.3125</v>
      </c>
      <c r="T19" s="17" t="s">
        <v>63</v>
      </c>
      <c r="U19" s="17"/>
      <c r="V19" s="17"/>
      <c r="W19" s="17"/>
      <c r="X19" s="60"/>
    </row>
    <row r="20" spans="2:24" x14ac:dyDescent="0.25">
      <c r="B20" s="11" t="s">
        <v>93</v>
      </c>
      <c r="C20" t="s">
        <v>95</v>
      </c>
      <c r="D20" s="8" t="s">
        <v>94</v>
      </c>
      <c r="E20" s="17"/>
      <c r="F20" s="17"/>
      <c r="G20" s="17"/>
      <c r="H20" s="60"/>
      <c r="J20" s="36" t="s">
        <v>131</v>
      </c>
      <c r="K20" s="17"/>
      <c r="L20" s="17"/>
      <c r="M20" s="17"/>
      <c r="N20" s="17"/>
      <c r="O20" s="17"/>
      <c r="P20" s="60"/>
      <c r="R20" s="36" t="s">
        <v>99</v>
      </c>
      <c r="S20" s="17"/>
      <c r="T20" s="17"/>
      <c r="U20" s="17"/>
      <c r="V20" s="17"/>
      <c r="W20" s="17"/>
      <c r="X20" s="60"/>
    </row>
    <row r="21" spans="2:24" x14ac:dyDescent="0.25">
      <c r="B21" s="85">
        <f>-46.07+C17</f>
        <v>-45.837000000000003</v>
      </c>
      <c r="C21" s="38"/>
      <c r="D21" s="71">
        <v>0</v>
      </c>
      <c r="E21" s="17"/>
      <c r="F21" s="17"/>
      <c r="G21" s="17"/>
      <c r="H21" s="60"/>
      <c r="J21" s="36" t="s">
        <v>42</v>
      </c>
      <c r="K21" s="186">
        <v>0</v>
      </c>
      <c r="L21" s="17" t="s">
        <v>63</v>
      </c>
      <c r="M21" s="17"/>
      <c r="N21" s="17"/>
      <c r="O21" s="17"/>
      <c r="P21" s="60"/>
      <c r="R21" s="36" t="s">
        <v>42</v>
      </c>
      <c r="S21" s="89">
        <f>1 + 5/8</f>
        <v>1.625</v>
      </c>
      <c r="T21" s="17" t="s">
        <v>63</v>
      </c>
      <c r="U21" s="17"/>
      <c r="V21" s="17"/>
      <c r="W21" s="17"/>
      <c r="X21" s="60"/>
    </row>
    <row r="22" spans="2:24" ht="15.75" thickBot="1" x14ac:dyDescent="0.3">
      <c r="B22" s="12"/>
      <c r="C22" s="13"/>
      <c r="D22" s="32"/>
      <c r="E22" s="32"/>
      <c r="F22" s="32"/>
      <c r="G22" s="32"/>
      <c r="H22" s="70"/>
      <c r="J22" s="36" t="s">
        <v>43</v>
      </c>
      <c r="K22" s="186">
        <v>0</v>
      </c>
      <c r="L22" s="17" t="s">
        <v>63</v>
      </c>
      <c r="M22" s="17"/>
      <c r="N22" s="17"/>
      <c r="O22" s="17"/>
      <c r="P22" s="60"/>
      <c r="R22" s="36" t="s">
        <v>43</v>
      </c>
      <c r="S22" s="89">
        <f>1 + 5/8</f>
        <v>1.625</v>
      </c>
      <c r="T22" s="17" t="s">
        <v>63</v>
      </c>
      <c r="U22" s="17"/>
      <c r="V22" s="17"/>
      <c r="W22" s="17"/>
      <c r="X22" s="60"/>
    </row>
    <row r="23" spans="2:24" ht="15.75" thickBot="1" x14ac:dyDescent="0.3">
      <c r="B23" s="208" t="s">
        <v>76</v>
      </c>
      <c r="C23" s="209"/>
      <c r="D23" s="209"/>
      <c r="E23" s="209"/>
      <c r="F23" s="209"/>
      <c r="G23" s="209"/>
      <c r="H23" s="210"/>
      <c r="J23" s="36"/>
      <c r="K23" s="17"/>
      <c r="L23" s="17"/>
      <c r="M23" s="17"/>
      <c r="N23" s="17"/>
      <c r="O23" s="17"/>
      <c r="P23" s="60"/>
      <c r="R23" s="36"/>
      <c r="S23" s="17"/>
      <c r="T23" s="17"/>
      <c r="U23" s="17"/>
      <c r="V23" s="17"/>
      <c r="W23" s="17"/>
      <c r="X23" s="60"/>
    </row>
    <row r="24" spans="2:24" x14ac:dyDescent="0.25">
      <c r="B24" s="36"/>
      <c r="C24" s="17" t="s">
        <v>40</v>
      </c>
      <c r="D24" s="8" t="s">
        <v>51</v>
      </c>
      <c r="E24" s="17" t="s">
        <v>38</v>
      </c>
      <c r="F24" s="17" t="s">
        <v>45</v>
      </c>
      <c r="G24" s="17" t="s">
        <v>69</v>
      </c>
      <c r="H24" s="60" t="s">
        <v>52</v>
      </c>
      <c r="J24" s="208" t="s">
        <v>76</v>
      </c>
      <c r="K24" s="209"/>
      <c r="L24" s="209"/>
      <c r="M24" s="209"/>
      <c r="N24" s="209"/>
      <c r="O24" s="209"/>
      <c r="P24" s="210"/>
      <c r="R24" s="208" t="s">
        <v>76</v>
      </c>
      <c r="S24" s="209"/>
      <c r="T24" s="209"/>
      <c r="U24" s="209"/>
      <c r="V24" s="209"/>
      <c r="W24" s="209"/>
      <c r="X24" s="210"/>
    </row>
    <row r="25" spans="2:24" x14ac:dyDescent="0.25">
      <c r="B25" s="11" t="s">
        <v>81</v>
      </c>
      <c r="C25" s="54"/>
      <c r="D25" s="54"/>
      <c r="E25" s="54"/>
      <c r="F25" s="54"/>
      <c r="G25" s="55"/>
      <c r="H25" s="62"/>
      <c r="J25" s="36"/>
      <c r="K25" s="17" t="s">
        <v>40</v>
      </c>
      <c r="L25" s="8" t="s">
        <v>51</v>
      </c>
      <c r="M25" s="17" t="s">
        <v>39</v>
      </c>
      <c r="N25" s="17" t="s">
        <v>45</v>
      </c>
      <c r="O25" s="17" t="s">
        <v>69</v>
      </c>
      <c r="P25" s="60" t="s">
        <v>52</v>
      </c>
      <c r="R25" s="36"/>
      <c r="S25" s="17" t="s">
        <v>40</v>
      </c>
      <c r="T25" s="8" t="s">
        <v>51</v>
      </c>
      <c r="U25" s="17" t="s">
        <v>39</v>
      </c>
      <c r="V25" s="17" t="s">
        <v>45</v>
      </c>
      <c r="W25" s="17" t="s">
        <v>69</v>
      </c>
      <c r="X25" s="60" t="s">
        <v>52</v>
      </c>
    </row>
    <row r="26" spans="2:24" x14ac:dyDescent="0.25">
      <c r="B26" s="11" t="s">
        <v>73</v>
      </c>
      <c r="C26" s="40">
        <f>2*'Components and Fixtures'!C$10</f>
        <v>103.02</v>
      </c>
      <c r="D26" s="84">
        <f>2*'Components and Fixtures'!$H$10</f>
        <v>4.2999999999999999E-4</v>
      </c>
      <c r="E26" s="40">
        <f>'Components and Fixtures'!F10</f>
        <v>-0.21199999999999999</v>
      </c>
      <c r="F26" s="40">
        <f>C16</f>
        <v>1.5</v>
      </c>
      <c r="G26" s="53">
        <f t="shared" ref="G26:G27" si="0">SQRT(E26^2+F26^2)</f>
        <v>1.5149072578874259</v>
      </c>
      <c r="H26" s="61">
        <f>D26+(C26/1000)*(G26*in2m)^2</f>
        <v>5.8253203743854074E-4</v>
      </c>
      <c r="J26" s="11" t="s">
        <v>81</v>
      </c>
      <c r="K26" s="40">
        <f>'Centerbody Test'!$C$18+'Centerbody Test'!$C$19/2</f>
        <v>291.685</v>
      </c>
      <c r="L26" s="54"/>
      <c r="M26" s="40">
        <f>K32/2</f>
        <v>8.34375</v>
      </c>
      <c r="N26" s="40">
        <v>0</v>
      </c>
      <c r="O26" s="53">
        <f>SQRT(M26^2+N26^2)</f>
        <v>8.34375</v>
      </c>
      <c r="P26" s="61">
        <f>L26+(K26/1000)*(O26*in2m)^2</f>
        <v>1.3100989400917383E-2</v>
      </c>
      <c r="R26" s="11" t="s">
        <v>81</v>
      </c>
      <c r="S26" s="40">
        <f>'Centerbody Test'!$C$18+'Centerbody Test'!$C$19/2</f>
        <v>291.685</v>
      </c>
      <c r="T26" s="54"/>
      <c r="U26" s="40">
        <f>S32/2</f>
        <v>8.15625</v>
      </c>
      <c r="V26" s="40">
        <v>0</v>
      </c>
      <c r="W26" s="53">
        <f>SQRT(U26^2+V26^2)</f>
        <v>8.15625</v>
      </c>
      <c r="X26" s="61">
        <f>T26+(S26/1000)*(W26*in2m)^2</f>
        <v>1.2518796714498631E-2</v>
      </c>
    </row>
    <row r="27" spans="2:24" x14ac:dyDescent="0.25">
      <c r="B27" s="11" t="s">
        <v>65</v>
      </c>
      <c r="C27" s="40">
        <f>'Components and Fixtures'!C29</f>
        <v>6240.98</v>
      </c>
      <c r="D27" s="54"/>
      <c r="E27" s="40">
        <f>'Components and Fixtures'!$F$29-D21</f>
        <v>-0.30269921935337069</v>
      </c>
      <c r="F27" s="40">
        <f>'Components and Fixtures'!$D$29-B21</f>
        <v>22.085404521245064</v>
      </c>
      <c r="G27" s="53">
        <f t="shared" si="0"/>
        <v>22.087478798731851</v>
      </c>
      <c r="H27" s="62"/>
      <c r="J27" s="11" t="s">
        <v>73</v>
      </c>
      <c r="K27" s="40">
        <f>2*'Components and Fixtures'!$C$8</f>
        <v>27.49</v>
      </c>
      <c r="L27" s="84">
        <f>2*'Components and Fixtures'!$G$8</f>
        <v>2.6599999999999999E-6</v>
      </c>
      <c r="M27" s="84">
        <f>2*'Components and Fixtures'!$E$8</f>
        <v>14.62</v>
      </c>
      <c r="N27" s="40">
        <v>0</v>
      </c>
      <c r="O27" s="53">
        <f t="shared" ref="O27:O28" si="1">SQRT(M27^2+N27^2)</f>
        <v>14.62</v>
      </c>
      <c r="P27" s="61">
        <f>L27+(K27/1000)*(O27*in2m)^2</f>
        <v>3.7935127769889582E-3</v>
      </c>
      <c r="R27" s="11" t="s">
        <v>73</v>
      </c>
      <c r="S27" s="40">
        <f>2*'Components and Fixtures'!$C$9</f>
        <v>46.75</v>
      </c>
      <c r="T27" s="84">
        <f>2*'Components and Fixtures'!$G$9</f>
        <v>3.9199999999999997E-5</v>
      </c>
      <c r="U27" s="84">
        <f>2*'Components and Fixtures'!$E$9</f>
        <v>14.62</v>
      </c>
      <c r="V27" s="40">
        <v>0</v>
      </c>
      <c r="W27" s="53">
        <f t="shared" ref="W27" si="2">SQRT(U27^2+V27^2)</f>
        <v>14.62</v>
      </c>
      <c r="X27" s="61">
        <f>T27+(S27/1000)*(W27*in2m)^2</f>
        <v>6.485994009611998E-3</v>
      </c>
    </row>
    <row r="28" spans="2:24" x14ac:dyDescent="0.25">
      <c r="B28" s="11"/>
      <c r="C28" s="8"/>
      <c r="D28" s="8"/>
      <c r="E28" s="8"/>
      <c r="F28" s="8"/>
      <c r="G28" s="8"/>
      <c r="H28" s="9"/>
      <c r="J28" s="11" t="s">
        <v>65</v>
      </c>
      <c r="K28" s="40">
        <f>'Components and Fixtures'!C29</f>
        <v>6240.98</v>
      </c>
      <c r="L28" s="54"/>
      <c r="M28" s="54"/>
      <c r="N28" s="40">
        <f>'Components and Fixtures'!F29</f>
        <v>-0.30269921935337069</v>
      </c>
      <c r="O28" s="53">
        <f t="shared" si="1"/>
        <v>0.30269921935337069</v>
      </c>
      <c r="P28" s="62"/>
      <c r="R28" s="11" t="s">
        <v>65</v>
      </c>
      <c r="S28" s="40">
        <f>'Components and Fixtures'!C29</f>
        <v>6240.98</v>
      </c>
      <c r="T28" s="54"/>
      <c r="U28" s="54"/>
      <c r="V28" s="55"/>
      <c r="W28" s="55"/>
      <c r="X28" s="62"/>
    </row>
    <row r="29" spans="2:24" x14ac:dyDescent="0.25">
      <c r="B29" s="11" t="s">
        <v>50</v>
      </c>
      <c r="C29" s="40">
        <f>SUM(C25:C27)</f>
        <v>6344</v>
      </c>
      <c r="D29" s="54"/>
      <c r="E29" s="77">
        <v>0</v>
      </c>
      <c r="F29" s="40">
        <f>SUMPRODUCT($C25:$C27,F25:F27)/SUM($C25:$C27)</f>
        <v>21.751118838114756</v>
      </c>
      <c r="G29" s="53">
        <f>SQRT(E29^2 + F29^2)</f>
        <v>21.751118838114756</v>
      </c>
      <c r="H29" s="62"/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</row>
    <row r="30" spans="2:24" ht="15.75" thickBot="1" x14ac:dyDescent="0.3">
      <c r="B30" s="11"/>
      <c r="C30" s="8"/>
      <c r="D30" s="8"/>
      <c r="E30" s="8"/>
      <c r="F30" s="8"/>
      <c r="G30" s="8"/>
      <c r="H30" s="9"/>
      <c r="J30" s="11" t="s">
        <v>50</v>
      </c>
      <c r="K30" s="40">
        <f>SUM(K26:K28)</f>
        <v>6560.1549999999997</v>
      </c>
      <c r="L30" s="54"/>
      <c r="M30" s="54"/>
      <c r="N30" s="54"/>
      <c r="O30" s="55"/>
      <c r="P30" s="62"/>
      <c r="R30" s="11" t="s">
        <v>50</v>
      </c>
      <c r="S30" s="40">
        <f>SUM(S26:S28)</f>
        <v>6579.415</v>
      </c>
      <c r="T30" s="54"/>
      <c r="U30" s="54"/>
      <c r="V30" s="54"/>
      <c r="W30" s="55"/>
      <c r="X30" s="62"/>
    </row>
    <row r="31" spans="2:24" ht="15.75" thickBot="1" x14ac:dyDescent="0.3">
      <c r="B31" s="12" t="str">
        <f>B27</f>
        <v>Body</v>
      </c>
      <c r="C31" s="66">
        <f>C27</f>
        <v>6240.98</v>
      </c>
      <c r="D31" s="67"/>
      <c r="E31" s="91">
        <f>(SUMPRODUCT(C29,E29)/SUM(C29) - SUMPRODUCT($C25:$C26,E25:E26)/SUM($C25:$C26))/C31</f>
        <v>3.3969024095574737E-5</v>
      </c>
      <c r="F31" s="67"/>
      <c r="G31" s="68">
        <f>SQRT(E31^2 + F27^2)</f>
        <v>22.085404521271187</v>
      </c>
      <c r="H31" s="69"/>
      <c r="J31" s="1"/>
      <c r="K31" s="2"/>
      <c r="L31" s="2"/>
      <c r="M31" s="2"/>
      <c r="N31" s="2"/>
      <c r="O31" s="2"/>
      <c r="P31" s="4"/>
      <c r="R31" s="1"/>
      <c r="S31" s="2"/>
      <c r="T31" s="2"/>
      <c r="U31" s="2"/>
      <c r="V31" s="2"/>
      <c r="W31" s="2"/>
      <c r="X31" s="4"/>
    </row>
    <row r="32" spans="2:24" x14ac:dyDescent="0.25">
      <c r="B32" s="1"/>
      <c r="C32" s="2"/>
      <c r="D32" s="2"/>
      <c r="E32" s="2"/>
      <c r="F32" s="2"/>
      <c r="G32" s="2"/>
      <c r="H32" s="4"/>
      <c r="J32" s="5" t="s">
        <v>5</v>
      </c>
      <c r="K32" s="40">
        <f>AVERAGE(K18:K19)</f>
        <v>16.6875</v>
      </c>
      <c r="L32" s="8" t="s">
        <v>63</v>
      </c>
      <c r="M32" s="8">
        <f>K32*in2m</f>
        <v>0.42386249999999998</v>
      </c>
      <c r="N32" s="8"/>
      <c r="O32" s="8"/>
      <c r="P32" s="9"/>
      <c r="R32" s="5" t="s">
        <v>5</v>
      </c>
      <c r="S32" s="40">
        <f>AVERAGE(S18:S19)</f>
        <v>16.3125</v>
      </c>
      <c r="T32" s="8" t="s">
        <v>63</v>
      </c>
      <c r="U32" s="8">
        <f>S32*in2m</f>
        <v>0.41433749999999997</v>
      </c>
      <c r="V32" s="8"/>
      <c r="W32" s="8"/>
      <c r="X32" s="9"/>
    </row>
    <row r="33" spans="2:24" x14ac:dyDescent="0.25">
      <c r="B33" s="5" t="s">
        <v>71</v>
      </c>
      <c r="C33" s="40">
        <f>G29</f>
        <v>21.751118838114756</v>
      </c>
      <c r="D33" s="8" t="s">
        <v>63</v>
      </c>
      <c r="E33" s="8">
        <f>C33*in2m</f>
        <v>0.55247841848811474</v>
      </c>
      <c r="F33" s="8"/>
      <c r="G33" s="8"/>
      <c r="H33" s="9"/>
      <c r="J33" s="5" t="s">
        <v>32</v>
      </c>
      <c r="K33" s="40">
        <f>AVERAGE(K16:K17)</f>
        <v>42</v>
      </c>
      <c r="L33" s="8" t="s">
        <v>63</v>
      </c>
      <c r="M33" s="8">
        <f>K33*in2m</f>
        <v>1.0668</v>
      </c>
      <c r="N33" s="8"/>
      <c r="O33" s="8"/>
      <c r="P33" s="9"/>
      <c r="R33" s="5" t="s">
        <v>32</v>
      </c>
      <c r="S33" s="40">
        <f>AVERAGE(S16:S17)</f>
        <v>26.625</v>
      </c>
      <c r="T33" s="8" t="s">
        <v>63</v>
      </c>
      <c r="U33" s="8">
        <f>S33*in2m</f>
        <v>0.67627499999999996</v>
      </c>
      <c r="V33" s="8"/>
      <c r="W33" s="8"/>
      <c r="X33" s="9"/>
    </row>
    <row r="34" spans="2:24" x14ac:dyDescent="0.25">
      <c r="B34" s="5" t="s">
        <v>37</v>
      </c>
      <c r="C34" s="40">
        <f>C29</f>
        <v>6344</v>
      </c>
      <c r="D34" s="8" t="s">
        <v>34</v>
      </c>
      <c r="E34" s="8">
        <f>C34/1000</f>
        <v>6.3440000000000003</v>
      </c>
      <c r="F34" s="8"/>
      <c r="G34" s="8"/>
      <c r="H34" s="9"/>
      <c r="J34" s="5" t="s">
        <v>37</v>
      </c>
      <c r="K34" s="40">
        <f>K30</f>
        <v>6560.1549999999997</v>
      </c>
      <c r="L34" s="8" t="s">
        <v>34</v>
      </c>
      <c r="M34" s="8">
        <f>K34/1000</f>
        <v>6.560155</v>
      </c>
      <c r="N34" s="8"/>
      <c r="O34" s="8"/>
      <c r="P34" s="9"/>
      <c r="R34" s="5" t="s">
        <v>37</v>
      </c>
      <c r="S34" s="40">
        <f>S30</f>
        <v>6579.415</v>
      </c>
      <c r="T34" s="8" t="s">
        <v>34</v>
      </c>
      <c r="U34" s="8">
        <f>S34/1000</f>
        <v>6.579415</v>
      </c>
      <c r="V34" s="8"/>
      <c r="W34" s="8"/>
      <c r="X34" s="9"/>
    </row>
    <row r="35" spans="2:24" x14ac:dyDescent="0.25">
      <c r="B35" s="5" t="s">
        <v>72</v>
      </c>
      <c r="C35" s="88">
        <f>H12</f>
        <v>0.59902658180456758</v>
      </c>
      <c r="D35" s="8" t="s">
        <v>60</v>
      </c>
      <c r="E35" s="8">
        <f>C35*2*PI()</f>
        <v>3.7637950174044694</v>
      </c>
      <c r="F35" s="8"/>
      <c r="G35" s="8"/>
      <c r="H35" s="9"/>
      <c r="J35" s="5" t="s">
        <v>72</v>
      </c>
      <c r="K35" s="88">
        <f>P12</f>
        <v>0.14663831659212551</v>
      </c>
      <c r="L35" s="8" t="s">
        <v>60</v>
      </c>
      <c r="M35" s="8">
        <f>K35*2*PI()</f>
        <v>0.92135571628119151</v>
      </c>
      <c r="N35" s="8"/>
      <c r="O35" s="8"/>
      <c r="P35" s="9"/>
      <c r="R35" s="5" t="s">
        <v>72</v>
      </c>
      <c r="S35" s="88">
        <f>X12</f>
        <v>0.19392790191557671</v>
      </c>
      <c r="T35" s="8" t="s">
        <v>60</v>
      </c>
      <c r="U35" s="8">
        <f>S35*2*PI()</f>
        <v>1.2184849439681156</v>
      </c>
      <c r="V35" s="8"/>
      <c r="W35" s="8"/>
      <c r="X35" s="9"/>
    </row>
    <row r="36" spans="2:24" x14ac:dyDescent="0.25">
      <c r="B36" s="11"/>
      <c r="C36" s="8"/>
      <c r="D36" s="8"/>
      <c r="E36" s="8"/>
      <c r="F36" s="8"/>
      <c r="G36" s="8"/>
      <c r="H36" s="9"/>
      <c r="J36" s="11"/>
      <c r="K36" s="8"/>
      <c r="L36" s="8"/>
      <c r="M36" s="8"/>
      <c r="N36" s="8"/>
      <c r="O36" s="8"/>
      <c r="P36" s="9"/>
      <c r="R36" s="11"/>
      <c r="S36" s="8"/>
      <c r="T36" s="8"/>
      <c r="U36" s="8"/>
      <c r="V36" s="8"/>
      <c r="W36" s="8"/>
      <c r="X36" s="9"/>
    </row>
    <row r="37" spans="2:24" x14ac:dyDescent="0.25">
      <c r="B37" s="198" t="s">
        <v>74</v>
      </c>
      <c r="C37" s="199"/>
      <c r="D37" s="199"/>
      <c r="E37" s="8"/>
      <c r="F37" s="8"/>
      <c r="G37" s="8"/>
      <c r="H37" s="9"/>
      <c r="J37" s="198" t="s">
        <v>74</v>
      </c>
      <c r="K37" s="199"/>
      <c r="L37" s="199"/>
      <c r="M37" s="8"/>
      <c r="N37" s="8"/>
      <c r="O37" s="8"/>
      <c r="P37" s="9"/>
      <c r="R37" s="198" t="s">
        <v>74</v>
      </c>
      <c r="S37" s="199"/>
      <c r="T37" s="199"/>
      <c r="U37" s="8"/>
      <c r="V37" s="8"/>
      <c r="W37" s="8"/>
      <c r="X37" s="9"/>
    </row>
    <row r="38" spans="2:24" x14ac:dyDescent="0.25">
      <c r="B38" s="86" t="s">
        <v>31</v>
      </c>
      <c r="C38" s="40">
        <f>(C34/1000)*g*(C33*in2m)/(C35*2*PI())^2</f>
        <v>2.4263153272808284</v>
      </c>
      <c r="D38" s="87" t="s">
        <v>64</v>
      </c>
      <c r="E38" s="8"/>
      <c r="F38" s="8"/>
      <c r="G38" s="8"/>
      <c r="H38" s="9"/>
      <c r="J38" s="86" t="s">
        <v>31</v>
      </c>
      <c r="K38" s="40">
        <f>(K34/1000)*g*(K32*in2m)^2/((K33*in2m)*(K35*4*PI())^2)</f>
        <v>3.190708280372569</v>
      </c>
      <c r="L38" s="87" t="s">
        <v>64</v>
      </c>
      <c r="M38" s="8"/>
      <c r="N38" s="8"/>
      <c r="O38" s="8"/>
      <c r="P38" s="9"/>
      <c r="R38" s="86" t="s">
        <v>31</v>
      </c>
      <c r="S38" s="40">
        <f>(S34/1000)*g*(S32*in2m)^2/((S33*in2m)*(S35*4*PI())^2)</f>
        <v>2.7579905888016554</v>
      </c>
      <c r="T38" s="87" t="s">
        <v>64</v>
      </c>
      <c r="U38" s="8"/>
      <c r="V38" s="8"/>
      <c r="W38" s="8"/>
      <c r="X38" s="9"/>
    </row>
    <row r="39" spans="2:24" x14ac:dyDescent="0.25">
      <c r="B39" s="11"/>
      <c r="C39" s="8"/>
      <c r="D39" s="8"/>
      <c r="E39" s="8"/>
      <c r="F39" s="8"/>
      <c r="G39" s="8"/>
      <c r="H39" s="9"/>
      <c r="J39" s="11"/>
      <c r="K39" s="8"/>
      <c r="L39" s="8"/>
      <c r="M39" s="8"/>
      <c r="N39" s="8"/>
      <c r="O39" s="8"/>
      <c r="P39" s="9"/>
      <c r="R39" s="11"/>
      <c r="S39" s="8"/>
      <c r="T39" s="8"/>
      <c r="U39" s="8"/>
      <c r="V39" s="8"/>
      <c r="W39" s="8"/>
      <c r="X39" s="9"/>
    </row>
    <row r="40" spans="2:24" x14ac:dyDescent="0.25">
      <c r="B40" s="198" t="s">
        <v>96</v>
      </c>
      <c r="C40" s="199"/>
      <c r="D40" s="199"/>
      <c r="E40" s="8"/>
      <c r="F40" s="8"/>
      <c r="G40" s="8"/>
      <c r="H40" s="9"/>
      <c r="J40" s="198" t="s">
        <v>100</v>
      </c>
      <c r="K40" s="199"/>
      <c r="L40" s="199"/>
      <c r="M40" s="8"/>
      <c r="N40" s="8"/>
      <c r="O40" s="8"/>
      <c r="P40" s="9"/>
      <c r="R40" s="198" t="s">
        <v>100</v>
      </c>
      <c r="S40" s="199"/>
      <c r="T40" s="199"/>
      <c r="U40" s="8"/>
      <c r="V40" s="8"/>
      <c r="W40" s="8"/>
      <c r="X40" s="9"/>
    </row>
    <row r="41" spans="2:24" ht="15.75" thickBot="1" x14ac:dyDescent="0.3">
      <c r="B41" s="86" t="s">
        <v>31</v>
      </c>
      <c r="C41" s="40">
        <f>C38-(H25+H26)</f>
        <v>2.4257327952433898</v>
      </c>
      <c r="D41" s="87" t="s">
        <v>64</v>
      </c>
      <c r="E41" s="8"/>
      <c r="F41" s="8"/>
      <c r="G41" s="8"/>
      <c r="H41" s="9"/>
      <c r="J41" s="58" t="s">
        <v>31</v>
      </c>
      <c r="K41" s="66">
        <f>K38-(P26+P27)</f>
        <v>3.1738137781946625</v>
      </c>
      <c r="L41" s="59" t="s">
        <v>64</v>
      </c>
      <c r="M41" s="13"/>
      <c r="N41" s="13"/>
      <c r="O41" s="13"/>
      <c r="P41" s="15"/>
      <c r="R41" s="58" t="s">
        <v>31</v>
      </c>
      <c r="S41" s="66">
        <f>S38-(X26+X27)</f>
        <v>2.7389857980775449</v>
      </c>
      <c r="T41" s="59" t="s">
        <v>64</v>
      </c>
      <c r="U41" s="13"/>
      <c r="V41" s="13"/>
      <c r="W41" s="13"/>
      <c r="X41" s="15"/>
    </row>
    <row r="42" spans="2:24" x14ac:dyDescent="0.25">
      <c r="B42" s="11"/>
      <c r="C42" s="8"/>
      <c r="D42" s="8"/>
      <c r="E42" s="8"/>
      <c r="F42" s="8"/>
      <c r="G42" s="8"/>
      <c r="H42" s="9"/>
    </row>
    <row r="43" spans="2:24" x14ac:dyDescent="0.25">
      <c r="B43" s="198" t="s">
        <v>100</v>
      </c>
      <c r="C43" s="199"/>
      <c r="D43" s="199"/>
      <c r="E43" s="8"/>
      <c r="F43" s="8"/>
      <c r="G43" s="8"/>
      <c r="H43" s="9"/>
      <c r="J43" t="s">
        <v>108</v>
      </c>
      <c r="K43">
        <f>0.1/1000</f>
        <v>1E-4</v>
      </c>
      <c r="L43">
        <f>(g*M32)/(4*M33*M35^2) - (M26*in2m)^2</f>
        <v>1.1025727508889542</v>
      </c>
      <c r="M43">
        <f>(K43*L43)^2</f>
        <v>1.2156666710028359E-8</v>
      </c>
      <c r="R43" t="s">
        <v>108</v>
      </c>
      <c r="S43">
        <f>0.1/1000</f>
        <v>1E-4</v>
      </c>
      <c r="T43">
        <f>(g*U32)/(4*U33*U35^2) - (U26*in2m)^2</f>
        <v>0.96877996284218848</v>
      </c>
      <c r="U43">
        <f>(S43*T43)^2</f>
        <v>9.3853461640451211E-9</v>
      </c>
    </row>
    <row r="44" spans="2:24" ht="15.75" thickBot="1" x14ac:dyDescent="0.3">
      <c r="B44" s="58" t="s">
        <v>31</v>
      </c>
      <c r="C44" s="66">
        <f>C41-(C31/1000)*(G31*in2m)^2</f>
        <v>0.46178047200202799</v>
      </c>
      <c r="D44" s="59" t="s">
        <v>64</v>
      </c>
      <c r="E44" s="13"/>
      <c r="F44" s="13"/>
      <c r="G44" s="13"/>
      <c r="H44" s="15"/>
      <c r="J44" t="s">
        <v>109</v>
      </c>
      <c r="K44">
        <f>0.25*in2m</f>
        <v>6.3499999999999997E-3</v>
      </c>
      <c r="L44">
        <f>-2*((K26/1000)*M26*in2m)</f>
        <v>-0.1236343333125</v>
      </c>
      <c r="M44">
        <f t="shared" ref="M44:M56" si="3">(K44*L44)^2</f>
        <v>6.1634749204554829E-7</v>
      </c>
      <c r="R44" t="s">
        <v>109</v>
      </c>
      <c r="S44">
        <f>0.25*in2m</f>
        <v>6.3499999999999997E-3</v>
      </c>
      <c r="T44">
        <f>-2*((S26/1000)*U26*in2m)</f>
        <v>-0.12085603368750002</v>
      </c>
      <c r="U44">
        <f t="shared" ref="U44:U56" si="4">(S44*T44)^2</f>
        <v>5.8895772848033795E-7</v>
      </c>
    </row>
    <row r="45" spans="2:24" x14ac:dyDescent="0.25">
      <c r="J45" t="s">
        <v>110</v>
      </c>
      <c r="K45">
        <f>0.05*P26</f>
        <v>6.5504947004586919E-4</v>
      </c>
      <c r="L45">
        <f>-1</f>
        <v>-1</v>
      </c>
      <c r="M45">
        <f t="shared" si="3"/>
        <v>4.2908980820737408E-7</v>
      </c>
      <c r="R45" t="s">
        <v>110</v>
      </c>
      <c r="S45">
        <f>0.05*X26</f>
        <v>6.2593983572493159E-4</v>
      </c>
      <c r="T45">
        <f>-1</f>
        <v>-1</v>
      </c>
      <c r="U45">
        <f t="shared" si="4"/>
        <v>3.9180067794735433E-7</v>
      </c>
    </row>
    <row r="46" spans="2:24" x14ac:dyDescent="0.25">
      <c r="B46" t="s">
        <v>108</v>
      </c>
      <c r="C46">
        <f>0.1/1000</f>
        <v>1E-4</v>
      </c>
      <c r="D46">
        <f>(g*F25*in2m)/(E35)^2</f>
        <v>0</v>
      </c>
      <c r="E46">
        <f>(C46*D46)^2</f>
        <v>0</v>
      </c>
      <c r="J46" t="s">
        <v>120</v>
      </c>
      <c r="K46">
        <f>0.1/1000</f>
        <v>1E-4</v>
      </c>
      <c r="L46" s="124">
        <f>(g*M32)/(4*M33*M35^2) - (M27*in2m)^2</f>
        <v>1.0095882685115167</v>
      </c>
      <c r="M46">
        <f t="shared" si="3"/>
        <v>1.0192684719160826E-8</v>
      </c>
      <c r="R46" t="s">
        <v>120</v>
      </c>
      <c r="S46">
        <f>0.1/1000</f>
        <v>1E-4</v>
      </c>
      <c r="T46" s="124">
        <f>(g*U32)/(4*U33*U35^2) - (U27*in2m)^2</f>
        <v>0.87379951671475109</v>
      </c>
      <c r="U46">
        <f t="shared" si="4"/>
        <v>7.6352559541093257E-9</v>
      </c>
    </row>
    <row r="47" spans="2:24" x14ac:dyDescent="0.25">
      <c r="B47" t="s">
        <v>109</v>
      </c>
      <c r="C47">
        <f>0.25*in2m</f>
        <v>6.3499999999999997E-3</v>
      </c>
      <c r="D47">
        <f>(g*C25/1000)/(E35^2)</f>
        <v>0</v>
      </c>
      <c r="E47">
        <f t="shared" ref="E47:E59" si="5">(C47*D47)^2</f>
        <v>0</v>
      </c>
      <c r="J47" t="s">
        <v>112</v>
      </c>
      <c r="K47">
        <f>0.015*in2m</f>
        <v>3.8099999999999999E-4</v>
      </c>
      <c r="L47" s="124">
        <f>-2*((K27/1000)*M27*in2m)</f>
        <v>-2.0416713039999996E-2</v>
      </c>
      <c r="M47">
        <f t="shared" si="3"/>
        <v>6.0509226436455942E-11</v>
      </c>
      <c r="R47" t="s">
        <v>112</v>
      </c>
      <c r="S47">
        <f>0.015*in2m</f>
        <v>3.8099999999999999E-4</v>
      </c>
      <c r="T47" s="124">
        <f>-2*((S27/1000)*U27*in2m)</f>
        <v>-3.4721037999999996E-2</v>
      </c>
      <c r="U47">
        <f t="shared" si="4"/>
        <v>1.7499891319787673E-10</v>
      </c>
    </row>
    <row r="48" spans="2:24" x14ac:dyDescent="0.25">
      <c r="B48" t="s">
        <v>110</v>
      </c>
      <c r="C48">
        <v>0</v>
      </c>
      <c r="D48">
        <f>-1</f>
        <v>-1</v>
      </c>
      <c r="E48">
        <f t="shared" si="5"/>
        <v>0</v>
      </c>
      <c r="J48" t="s">
        <v>121</v>
      </c>
      <c r="K48" s="124">
        <f>0.05*L27</f>
        <v>1.3300000000000001E-7</v>
      </c>
      <c r="L48">
        <f>-1</f>
        <v>-1</v>
      </c>
      <c r="M48">
        <f t="shared" si="3"/>
        <v>1.7689000000000005E-14</v>
      </c>
      <c r="R48" t="s">
        <v>121</v>
      </c>
      <c r="S48" s="124">
        <f>0.05*T27</f>
        <v>1.9599999999999999E-6</v>
      </c>
      <c r="T48">
        <f>-1</f>
        <v>-1</v>
      </c>
      <c r="U48">
        <f t="shared" si="4"/>
        <v>3.8415999999999993E-12</v>
      </c>
    </row>
    <row r="49" spans="2:22" x14ac:dyDescent="0.25">
      <c r="B49" t="s">
        <v>120</v>
      </c>
      <c r="C49">
        <f>0.1/1000</f>
        <v>1E-4</v>
      </c>
      <c r="D49">
        <f>(g*F26*in2m)/(E35^2)-(G26*in2m)^2</f>
        <v>2.4894470265217919E-2</v>
      </c>
      <c r="E49">
        <f t="shared" si="5"/>
        <v>6.1973464978581928E-12</v>
      </c>
      <c r="J49" t="s">
        <v>122</v>
      </c>
      <c r="K49">
        <f>0.1/1000</f>
        <v>1E-4</v>
      </c>
      <c r="L49">
        <f>(g*M32)/(4*M33*M35^2) - (O28*in2m)^2</f>
        <v>1.1474284916580049</v>
      </c>
      <c r="M49">
        <f t="shared" si="3"/>
        <v>1.3165921434685643E-8</v>
      </c>
      <c r="R49" t="s">
        <v>122</v>
      </c>
      <c r="S49">
        <f>0.1/1000</f>
        <v>1E-4</v>
      </c>
      <c r="T49">
        <f>(g*U32)/(4*U33*U35^2) - (W28*in2m)^2</f>
        <v>1.011698853818751</v>
      </c>
      <c r="U49">
        <f t="shared" si="4"/>
        <v>1.0235345708181747E-8</v>
      </c>
    </row>
    <row r="50" spans="2:22" x14ac:dyDescent="0.25">
      <c r="B50" t="s">
        <v>111</v>
      </c>
      <c r="C50">
        <f>0.015*in2m</f>
        <v>3.8099999999999999E-4</v>
      </c>
      <c r="D50">
        <f>-2*C26/1000*F26*in2m</f>
        <v>-7.850124E-3</v>
      </c>
      <c r="E50">
        <f t="shared" si="5"/>
        <v>8.9454663241667946E-12</v>
      </c>
      <c r="J50" t="s">
        <v>124</v>
      </c>
      <c r="K50">
        <f>(1/16 + 0.015)*in2m</f>
        <v>1.9684999999999998E-3</v>
      </c>
      <c r="L50">
        <f>-2*((K28/1000)*O28*in2m)</f>
        <v>-9.5968300519199967E-2</v>
      </c>
      <c r="M50">
        <f t="shared" si="3"/>
        <v>3.5688348103267001E-8</v>
      </c>
      <c r="R50" t="s">
        <v>124</v>
      </c>
      <c r="S50">
        <f>(1/16 + 0.015)*in2m</f>
        <v>1.9684999999999998E-3</v>
      </c>
      <c r="T50">
        <f>-2*((S28/1000)*W28*in2m)</f>
        <v>0</v>
      </c>
      <c r="U50">
        <f t="shared" si="4"/>
        <v>0</v>
      </c>
    </row>
    <row r="51" spans="2:22" x14ac:dyDescent="0.25">
      <c r="B51" t="s">
        <v>112</v>
      </c>
      <c r="C51">
        <f>0.015*in2m</f>
        <v>3.8099999999999999E-4</v>
      </c>
      <c r="D51">
        <f>(g*C26/1000)/(E35^2)</f>
        <v>7.1316544991109981E-2</v>
      </c>
      <c r="E51">
        <f t="shared" si="5"/>
        <v>7.3829604445691155E-10</v>
      </c>
      <c r="J51" t="s">
        <v>5</v>
      </c>
      <c r="K51">
        <f>(1/16)*in2m</f>
        <v>1.5874999999999999E-3</v>
      </c>
      <c r="L51">
        <f>(g*M34)/(4*M33*M35^2)</f>
        <v>17.759760661574592</v>
      </c>
      <c r="M51">
        <f t="shared" si="3"/>
        <v>7.9488021153783985E-4</v>
      </c>
      <c r="R51" t="s">
        <v>5</v>
      </c>
      <c r="S51">
        <f>(1/16)*in2m</f>
        <v>1.5874999999999999E-3</v>
      </c>
      <c r="T51">
        <f>(g*U34)/(4*U33*U35^2)</f>
        <v>16.065131961982441</v>
      </c>
      <c r="U51">
        <f t="shared" si="4"/>
        <v>6.5042325801154205E-4</v>
      </c>
    </row>
    <row r="52" spans="2:22" x14ac:dyDescent="0.25">
      <c r="B52" t="s">
        <v>121</v>
      </c>
      <c r="C52" s="124">
        <f>0.05*D26</f>
        <v>2.1500000000000001E-5</v>
      </c>
      <c r="D52">
        <f>-1</f>
        <v>-1</v>
      </c>
      <c r="E52">
        <f t="shared" si="5"/>
        <v>4.6225000000000003E-10</v>
      </c>
      <c r="J52" t="s">
        <v>32</v>
      </c>
      <c r="K52">
        <f>(1/16 + 0.015)*in2m</f>
        <v>1.9684999999999998E-3</v>
      </c>
      <c r="L52">
        <f>-(g*M34*M32)/(4*M33^2*M35^2)</f>
        <v>-7.0563334771434771</v>
      </c>
      <c r="M52">
        <f t="shared" si="3"/>
        <v>1.929430024082644E-4</v>
      </c>
      <c r="R52" t="s">
        <v>32</v>
      </c>
      <c r="S52">
        <f>(1/16 + 0.015)*in2m</f>
        <v>1.9684999999999998E-3</v>
      </c>
      <c r="T52">
        <f>-(g*U34*U32)/(4*U33^2*U35^2)</f>
        <v>-9.8427216950174099</v>
      </c>
      <c r="U52">
        <f t="shared" si="4"/>
        <v>3.7540603435299929E-4</v>
      </c>
    </row>
    <row r="53" spans="2:22" x14ac:dyDescent="0.25">
      <c r="B53" t="s">
        <v>122</v>
      </c>
      <c r="C53">
        <f>0.1/1000</f>
        <v>1E-4</v>
      </c>
      <c r="D53">
        <f>(g*F27*in2m)/(E35^2)-(G31*in2m)^2</f>
        <v>7.3649626128477474E-2</v>
      </c>
      <c r="E53">
        <f t="shared" si="5"/>
        <v>5.4242674288645125E-11</v>
      </c>
      <c r="J53" t="s">
        <v>33</v>
      </c>
      <c r="K53">
        <v>0</v>
      </c>
      <c r="L53">
        <f>(M34*M32)/(4*M33*M35^2)</f>
        <v>0.76761142218970413</v>
      </c>
      <c r="M53">
        <f t="shared" si="3"/>
        <v>0</v>
      </c>
      <c r="R53" t="s">
        <v>33</v>
      </c>
      <c r="S53">
        <v>0</v>
      </c>
      <c r="T53">
        <f>(U34*U32)/(4*U33*U35^2)</f>
        <v>0.67876253504488271</v>
      </c>
      <c r="U53">
        <f t="shared" si="4"/>
        <v>0</v>
      </c>
    </row>
    <row r="54" spans="2:22" x14ac:dyDescent="0.25">
      <c r="B54" t="s">
        <v>123</v>
      </c>
      <c r="C54">
        <f>(1/16 + 0.015)*in2m</f>
        <v>1.9684999999999998E-3</v>
      </c>
      <c r="D54">
        <f>-2*C27/1000*E31*in2m</f>
        <v>-1.0769599999999999E-5</v>
      </c>
      <c r="E54">
        <f t="shared" si="5"/>
        <v>4.4943820224179763E-16</v>
      </c>
      <c r="J54" t="s">
        <v>113</v>
      </c>
      <c r="K54">
        <v>0.01</v>
      </c>
      <c r="L54">
        <f>-2*((M34*g*M32)/(4*M33))*(M36)*(P7)^2*(2*PI())^-2*(J7)^-2</f>
        <v>0</v>
      </c>
      <c r="M54">
        <f t="shared" si="3"/>
        <v>0</v>
      </c>
      <c r="R54" t="s">
        <v>113</v>
      </c>
      <c r="S54">
        <v>0.01</v>
      </c>
      <c r="T54">
        <f>-2*((U34*g*U32)/(4*U33))*(U36)*(X7)^2*(2*PI())^-2*(R7)^-2</f>
        <v>0</v>
      </c>
      <c r="U54">
        <f t="shared" si="4"/>
        <v>0</v>
      </c>
    </row>
    <row r="55" spans="2:22" x14ac:dyDescent="0.25">
      <c r="B55" t="s">
        <v>124</v>
      </c>
      <c r="C55">
        <f>(1/16 + 0.015)*in2m</f>
        <v>1.9684999999999998E-3</v>
      </c>
      <c r="D55">
        <f>(g*C27/1000)/(E35^2) - 2*(C27/1000)*(F27*in2m)</f>
        <v>-2.6816200940538675</v>
      </c>
      <c r="E55">
        <f t="shared" si="5"/>
        <v>2.7865403793310652E-5</v>
      </c>
      <c r="J55" t="s">
        <v>114</v>
      </c>
      <c r="K55" s="123">
        <f>P8</f>
        <v>0.11269427669584546</v>
      </c>
      <c r="L55">
        <f>2*((M34*g*M32)/(4*M33))*(1-M36^2)*(P7)^1*(2*PI())^-2*(J7)^-2</f>
        <v>0.11038487504093643</v>
      </c>
      <c r="M55">
        <f t="shared" si="3"/>
        <v>1.5474722210009729E-4</v>
      </c>
      <c r="R55" t="s">
        <v>114</v>
      </c>
      <c r="S55" s="123">
        <f>X8</f>
        <v>0.10063072696684987</v>
      </c>
      <c r="T55">
        <f>2*((U34*g*U32)/(4*U33))*(1-U36^2)*(X7)^1*(2*PI())^-2*(R7)^-2</f>
        <v>0.25817181808994416</v>
      </c>
      <c r="U55">
        <f t="shared" si="4"/>
        <v>6.7496132160155373E-4</v>
      </c>
    </row>
    <row r="56" spans="2:22" x14ac:dyDescent="0.25">
      <c r="B56" t="s">
        <v>33</v>
      </c>
      <c r="C56">
        <v>0</v>
      </c>
      <c r="D56">
        <f>(E34*E33)/(E35^2)</f>
        <v>0.24741530770251094</v>
      </c>
      <c r="E56">
        <f t="shared" si="5"/>
        <v>0</v>
      </c>
      <c r="J56" t="s">
        <v>115</v>
      </c>
      <c r="K56">
        <v>0</v>
      </c>
      <c r="L56">
        <f>-2*((M34*g*M32)/(4*M33))*(1-M36^2)*(P7)^2*(2*PI())^-2*(J7)^-3</f>
        <v>-0.75276965534166618</v>
      </c>
      <c r="M56">
        <f t="shared" si="3"/>
        <v>0</v>
      </c>
      <c r="R56" t="s">
        <v>115</v>
      </c>
      <c r="S56">
        <v>0</v>
      </c>
      <c r="T56">
        <f>-2*((U34*g*U32)/(4*U33))*(1-U36^2)*(X7)^2*(2*PI())^-2*(R7)^-3</f>
        <v>-1.3312773228595798</v>
      </c>
      <c r="U56">
        <f t="shared" si="4"/>
        <v>0</v>
      </c>
    </row>
    <row r="57" spans="2:22" x14ac:dyDescent="0.25">
      <c r="B57" t="s">
        <v>113</v>
      </c>
      <c r="C57">
        <v>0.01</v>
      </c>
      <c r="D57">
        <f>-2*(E34*g*E33)*(E36)*(H7)^2*(2*PI())^-2*(B7)^-2</f>
        <v>0</v>
      </c>
      <c r="E57">
        <f t="shared" si="5"/>
        <v>0</v>
      </c>
    </row>
    <row r="58" spans="2:22" x14ac:dyDescent="0.25">
      <c r="B58" t="s">
        <v>114</v>
      </c>
      <c r="C58" s="123">
        <f>H8</f>
        <v>4.1129875597507796E-2</v>
      </c>
      <c r="D58">
        <f>2*(E34*g*E33)*(1-E36^2)*(H7)^1*(2*PI())^-2*(B7)^-2</f>
        <v>0.14534273768810654</v>
      </c>
      <c r="E58">
        <f t="shared" si="5"/>
        <v>3.5735631782752215E-5</v>
      </c>
      <c r="L58" t="s">
        <v>50</v>
      </c>
      <c r="M58">
        <f>SQRT(SUM(M43:M56))</f>
        <v>3.3818443747374555E-2</v>
      </c>
      <c r="N58" t="s">
        <v>119</v>
      </c>
      <c r="T58" t="s">
        <v>50</v>
      </c>
      <c r="U58">
        <f>SQRT(SUM(U43:U56))</f>
        <v>4.1252864229782422E-2</v>
      </c>
      <c r="V58" t="s">
        <v>119</v>
      </c>
    </row>
    <row r="59" spans="2:22" x14ac:dyDescent="0.25">
      <c r="B59" t="s">
        <v>115</v>
      </c>
      <c r="C59">
        <v>0</v>
      </c>
      <c r="D59">
        <f>-2*(E34*g*E33)*(1-E36^2)*(H7)^2*(2*PI())^-2*(B7)^-3</f>
        <v>-0.24263153272808288</v>
      </c>
      <c r="E59">
        <f t="shared" si="5"/>
        <v>0</v>
      </c>
      <c r="M59" s="174">
        <f>M58/K41</f>
        <v>1.0655459365549562E-2</v>
      </c>
      <c r="U59" s="174">
        <f>U58/S41</f>
        <v>1.5061364779159212E-2</v>
      </c>
    </row>
    <row r="61" spans="2:22" x14ac:dyDescent="0.25">
      <c r="D61" t="s">
        <v>50</v>
      </c>
      <c r="E61">
        <f>SQRT(SUM(E46:E59))</f>
        <v>7.9751053603099118E-3</v>
      </c>
      <c r="F61" t="s">
        <v>119</v>
      </c>
    </row>
    <row r="62" spans="2:22" x14ac:dyDescent="0.25">
      <c r="E62" s="174">
        <f>E61/C44</f>
        <v>1.7270339141311476E-2</v>
      </c>
    </row>
  </sheetData>
  <mergeCells count="28">
    <mergeCell ref="R37:T37"/>
    <mergeCell ref="R40:T40"/>
    <mergeCell ref="J24:P24"/>
    <mergeCell ref="J37:L37"/>
    <mergeCell ref="J40:L40"/>
    <mergeCell ref="R15:X15"/>
    <mergeCell ref="R24:X24"/>
    <mergeCell ref="J3:P3"/>
    <mergeCell ref="J5:P5"/>
    <mergeCell ref="K6:M6"/>
    <mergeCell ref="O6:P6"/>
    <mergeCell ref="O11:P11"/>
    <mergeCell ref="J15:P15"/>
    <mergeCell ref="R3:X3"/>
    <mergeCell ref="R5:X5"/>
    <mergeCell ref="S6:U6"/>
    <mergeCell ref="W6:X6"/>
    <mergeCell ref="W11:X11"/>
    <mergeCell ref="B15:H15"/>
    <mergeCell ref="B23:H23"/>
    <mergeCell ref="B37:D37"/>
    <mergeCell ref="B40:D40"/>
    <mergeCell ref="B43:D43"/>
    <mergeCell ref="B3:H3"/>
    <mergeCell ref="B5:H5"/>
    <mergeCell ref="C6:E6"/>
    <mergeCell ref="G6:H6"/>
    <mergeCell ref="G11:H11"/>
  </mergeCells>
  <conditionalFormatting sqref="E46:E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 Summary</vt:lpstr>
      <vt:lpstr>Wing Test</vt:lpstr>
      <vt:lpstr>Components and Fixtures</vt:lpstr>
      <vt:lpstr>Centerbody Test</vt:lpstr>
      <vt:lpstr>Aircraft Test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2016-08-01T19:31:48Z</dcterms:modified>
</cp:coreProperties>
</file>