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Envelope\"/>
    </mc:Choice>
  </mc:AlternateContent>
  <bookViews>
    <workbookView xWindow="1275" yWindow="930" windowWidth="5280" windowHeight="6195" tabRatio="663" activeTab="4"/>
  </bookViews>
  <sheets>
    <sheet name="Cases 195" sheetId="1" r:id="rId1"/>
    <sheet name="Cases 600" sheetId="4" r:id="rId2"/>
    <sheet name="Cases 900" sheetId="5" r:id="rId3"/>
    <sheet name="Free Float Cases" sheetId="2" r:id="rId4"/>
    <sheet name="Compare Eplus Versions" sheetId="3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Print_Area" localSheetId="1">'Cases 600'!$A$1:$Q$56</definedName>
    <definedName name="_xlnm.Print_Area" localSheetId="2">'Cases 900'!$A$1:$U$55</definedName>
  </definedNames>
  <calcPr calcId="152511"/>
</workbook>
</file>

<file path=xl/sharedStrings.xml><?xml version="1.0" encoding="utf-8"?>
<sst xmlns="http://schemas.openxmlformats.org/spreadsheetml/2006/main" count="410" uniqueCount="109">
  <si>
    <t>Description</t>
  </si>
  <si>
    <t>Solid Conduction Problem</t>
  </si>
  <si>
    <t>No windows, internal load or infiltration</t>
  </si>
  <si>
    <t>Constant 20C setpoint</t>
  </si>
  <si>
    <t>E-Plus</t>
  </si>
  <si>
    <t>Annual Heating (MWh)</t>
  </si>
  <si>
    <t>Annual Cooling (MWh)</t>
  </si>
  <si>
    <t>Peak Heating (KW)</t>
  </si>
  <si>
    <t>Peak Cooling (KW)</t>
  </si>
  <si>
    <t>Difference, %</t>
  </si>
  <si>
    <t>BESTEST Case</t>
  </si>
  <si>
    <t>Rectangular box of low mass construction</t>
  </si>
  <si>
    <t>Basic Heat Transfer Problem</t>
  </si>
  <si>
    <t>Windows on South wall</t>
  </si>
  <si>
    <t>H/C Setpoint 20C/27C</t>
  </si>
  <si>
    <t>200 w internal load</t>
  </si>
  <si>
    <t>0.5 ACH infiltration</t>
  </si>
  <si>
    <t>Same as 600 with</t>
  </si>
  <si>
    <t xml:space="preserve"> </t>
  </si>
  <si>
    <t>South Shade Problem</t>
  </si>
  <si>
    <t>1.0M overhang on South Wall</t>
  </si>
  <si>
    <t>Internal load</t>
  </si>
  <si>
    <t>Infiltration</t>
  </si>
  <si>
    <t>Internal + Infiltration</t>
  </si>
  <si>
    <t>Checks using annual cooling load</t>
  </si>
  <si>
    <t>Checks using annual heating load</t>
  </si>
  <si>
    <t>Total</t>
  </si>
  <si>
    <t>Checks using peak heating day (internal load = 0.2 kW with 60% radiant, infiltration = 0.5 ACH)</t>
  </si>
  <si>
    <t>Checks using peak cooling day (internal load = 0.2 kW with 60% radiant, infiltration = 0.5 ACH)</t>
  </si>
  <si>
    <t>Windows on East &amp; West wall</t>
  </si>
  <si>
    <t>East/West Incid./Trans. Problem</t>
  </si>
  <si>
    <t>East/West Shade Problem</t>
  </si>
  <si>
    <t>Same as 620 with</t>
  </si>
  <si>
    <t>1.0M overhang &amp; fins on</t>
  </si>
  <si>
    <t xml:space="preserve">windows from roof to </t>
  </si>
  <si>
    <t>ground</t>
  </si>
  <si>
    <t>Setback Problem</t>
  </si>
  <si>
    <t>Same as 600</t>
  </si>
  <si>
    <t>Setback Thermostat</t>
  </si>
  <si>
    <t>Cooling 27C, all hours</t>
  </si>
  <si>
    <t>Heating 10C, 2300 to 0700</t>
  </si>
  <si>
    <t>Heating 20C, 0700 to 2300</t>
  </si>
  <si>
    <t>BESTEST Mean</t>
  </si>
  <si>
    <t>Same as 900 with</t>
  </si>
  <si>
    <t>Same as 920 with</t>
  </si>
  <si>
    <t>Same as 900</t>
  </si>
  <si>
    <t>High Mass Building</t>
  </si>
  <si>
    <t>Low Mass Building</t>
  </si>
  <si>
    <t>Free Floating Zone Temperature</t>
  </si>
  <si>
    <t>600FF</t>
  </si>
  <si>
    <t>900FF</t>
  </si>
  <si>
    <t>Free Float Temperature</t>
  </si>
  <si>
    <t>Maximum Annual Hourly Zone Temperature (C)</t>
  </si>
  <si>
    <t>Minimum Annual Hourly Zone Temperature (C)</t>
  </si>
  <si>
    <t>Average Annual Hourly Zone Temperature (C)</t>
  </si>
  <si>
    <t>BESTEST Minimum</t>
  </si>
  <si>
    <t>BESTEST Maximum</t>
  </si>
  <si>
    <t>EnergyPlus Within Range</t>
  </si>
  <si>
    <t>Comparison of Results as EnergyPlus Versions are Updated</t>
  </si>
  <si>
    <t>Case 195</t>
  </si>
  <si>
    <t>Peak Heating Time</t>
  </si>
  <si>
    <t>Peak Cooling Time</t>
  </si>
  <si>
    <t>Annual Heating (MWH)</t>
  </si>
  <si>
    <t>Annual Cooling (MWH)</t>
  </si>
  <si>
    <t>Peak Heating (kW)</t>
  </si>
  <si>
    <t>Peak Cooling (kW)</t>
  </si>
  <si>
    <t>Case 600</t>
  </si>
  <si>
    <t>Case 610</t>
  </si>
  <si>
    <t>Case 620</t>
  </si>
  <si>
    <t>Case 630</t>
  </si>
  <si>
    <t>Case 640</t>
  </si>
  <si>
    <t>Case 900</t>
  </si>
  <si>
    <t>Case 910</t>
  </si>
  <si>
    <t>Case 920</t>
  </si>
  <si>
    <t>Case 930</t>
  </si>
  <si>
    <t>Case 940</t>
  </si>
  <si>
    <t>Case 960</t>
  </si>
  <si>
    <t>Case 600FF</t>
  </si>
  <si>
    <t>Case 900FF</t>
  </si>
  <si>
    <t>Maximum Temp (C)</t>
  </si>
  <si>
    <t>Minimum Temp (C)</t>
  </si>
  <si>
    <t>Max Temp Time</t>
  </si>
  <si>
    <t>Min Temp Time</t>
  </si>
  <si>
    <t>EnergyPlus Version ---&gt;</t>
  </si>
  <si>
    <t>Comments ---&gt;</t>
  </si>
  <si>
    <t>Run ---&gt;</t>
  </si>
  <si>
    <t>New Version</t>
  </si>
  <si>
    <t>Numbers in red are changes made to conform with ASHRAE Standard 140P</t>
  </si>
  <si>
    <t>Numbers in red are changes made to conform with ASHRAE Standard 140P; only ESP results shown for this case</t>
  </si>
  <si>
    <t>Passive Solar Problem</t>
  </si>
  <si>
    <t>Same as 900 but with</t>
  </si>
  <si>
    <t>sunspace and interior wall</t>
  </si>
  <si>
    <t>Sunspace is uncontrolled</t>
  </si>
  <si>
    <t>and has two windows</t>
  </si>
  <si>
    <t>Night Ventilation Problem</t>
  </si>
  <si>
    <t>Vent air 1800-700 hrs</t>
  </si>
  <si>
    <t>Cooling 27C, 700-1800 hrs</t>
  </si>
  <si>
    <t>Heating, always off</t>
  </si>
  <si>
    <t>950FF</t>
  </si>
  <si>
    <t>650FF</t>
  </si>
  <si>
    <t>Vent Air 1703.16 m3/h 1800-700</t>
  </si>
  <si>
    <t>Temperatures below are</t>
  </si>
  <si>
    <t>for Sunspace</t>
  </si>
  <si>
    <t>Case 650FF</t>
  </si>
  <si>
    <t>Case 950FF</t>
  </si>
  <si>
    <t>Case 650</t>
  </si>
  <si>
    <t>Case 950</t>
  </si>
  <si>
    <t>Comparison Of EnergyPlus Results with Standard 140-2011</t>
  </si>
  <si>
    <t>Using EnergyPlus Version {{ engine.config["EnergyPlusVersion"] }} with Standard 140-2011 weather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</si>
</sst>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%"/>
    <numFmt numFmtId="167" formatCode="0.0"/>
    <numFmt numFmtId="168" formatCode="m/d/yy"/>
  </numFmts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3" fillId="0" borderId="0" xfId="0" applyFont="1"/>
    <xf numFmtId="167" fontId="0" fillId="0" borderId="0" xfId="0" applyNumberFormat="1"/>
    <xf numFmtId="0" fontId="0" fillId="0" borderId="0" xfId="0" applyAlignment="1">
      <alignment horizontal="left"/>
    </xf>
    <xf numFmtId="168" fontId="0" fillId="0" borderId="0" xfId="0" applyNumberFormat="1"/>
    <xf numFmtId="10" fontId="0" fillId="0" borderId="0" xfId="0" applyNumberFormat="1"/>
    <xf numFmtId="164" fontId="1" fillId="0" borderId="0" xfId="0" applyNumberFormat="1" applyFont="1" applyAlignment="1">
      <alignment horizontal="right"/>
    </xf>
    <xf numFmtId="168" fontId="1" fillId="0" borderId="0" xfId="0" applyNumberFormat="1" applyFont="1"/>
    <xf numFmtId="164" fontId="0" fillId="0" borderId="0" xfId="0" quotePrefix="1" applyNumberFormat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7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195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60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610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620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630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640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650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900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910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920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930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940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960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950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600FF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900FF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650FF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950FF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195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600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610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620"/>
    </sheetNames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630"/>
    </sheetNames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640"/>
    </sheet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650"/>
    </sheet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900"/>
    </sheet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910"/>
    </sheetNames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920"/>
    </sheetNames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930"/>
    </sheetNames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940"/>
    </sheetNames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960"/>
    </sheetNames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950"/>
    </sheetNames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600FF"/>
    </sheetNames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900FF"/>
    </sheetNames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650FF"/>
    </sheetNames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950FF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9"/>
  <sheetViews>
    <sheetView workbookViewId="0">
      <selection activeCell="A2" sqref="A2"/>
    </sheetView>
  </sheetViews>
  <sheetFormatPr defaultRowHeight="12.75" x14ac:dyDescent="0.2"/>
  <cols>
    <col min="1" max="1" width="13.140625" customWidth="1"/>
    <col min="2" max="2" width="10" customWidth="1"/>
    <col min="3" max="3" width="15.5703125" bestFit="1" customWidth="1"/>
    <col min="6" max="6" width="4.5703125" customWidth="1"/>
    <col min="7" max="7" width="15.5703125" customWidth="1"/>
    <col min="8" max="8" width="2.42578125" customWidth="1"/>
    <col min="9" max="10" width="11.7109375" customWidth="1"/>
    <col min="11" max="11" width="11.7109375" style="4" customWidth="1"/>
    <col min="12" max="12" width="11.7109375" customWidth="1"/>
    <col min="13" max="13" width="2.5703125" customWidth="1"/>
    <col min="14" max="15" width="11.7109375" customWidth="1"/>
    <col min="16" max="16" width="11.7109375" style="4" customWidth="1"/>
    <col min="17" max="17" width="11.7109375" customWidth="1"/>
  </cols>
  <sheetData>
    <row r="1" spans="1:16" ht="18" x14ac:dyDescent="0.25">
      <c r="A1" s="2" t="s">
        <v>107</v>
      </c>
    </row>
    <row r="2" spans="1:16" ht="15" x14ac:dyDescent="0.25">
      <c r="A2" s="12" t="s">
        <v>108</v>
      </c>
    </row>
    <row r="3" spans="1:16" ht="15" x14ac:dyDescent="0.25">
      <c r="A3" s="12"/>
    </row>
    <row r="4" spans="1:16" ht="15" x14ac:dyDescent="0.25">
      <c r="A4" s="12"/>
      <c r="J4" s="4"/>
      <c r="K4"/>
      <c r="O4" s="4"/>
      <c r="P4"/>
    </row>
    <row r="5" spans="1:16" ht="15" x14ac:dyDescent="0.25">
      <c r="A5" s="12"/>
      <c r="J5" s="4"/>
      <c r="K5"/>
      <c r="O5" s="4"/>
      <c r="P5"/>
    </row>
    <row r="6" spans="1:16" ht="15" x14ac:dyDescent="0.25">
      <c r="A6" s="12"/>
      <c r="J6" s="4"/>
      <c r="K6"/>
      <c r="O6" s="4"/>
      <c r="P6"/>
    </row>
    <row r="7" spans="1:16" ht="15" x14ac:dyDescent="0.25">
      <c r="A7" s="12"/>
      <c r="J7" s="4"/>
      <c r="K7"/>
      <c r="O7" s="4"/>
      <c r="P7"/>
    </row>
    <row r="8" spans="1:16" ht="15" x14ac:dyDescent="0.25">
      <c r="A8" s="12"/>
    </row>
    <row r="9" spans="1:16" ht="15" x14ac:dyDescent="0.25">
      <c r="A9" s="12" t="s">
        <v>47</v>
      </c>
      <c r="D9" s="20" t="s">
        <v>88</v>
      </c>
    </row>
    <row r="11" spans="1:16" x14ac:dyDescent="0.2">
      <c r="A11" s="1" t="s">
        <v>10</v>
      </c>
      <c r="C11" s="10">
        <v>195</v>
      </c>
    </row>
    <row r="13" spans="1:16" x14ac:dyDescent="0.2">
      <c r="A13" s="1" t="s">
        <v>0</v>
      </c>
      <c r="C13" s="1" t="s">
        <v>1</v>
      </c>
    </row>
    <row r="14" spans="1:16" x14ac:dyDescent="0.2">
      <c r="C14" t="s">
        <v>11</v>
      </c>
    </row>
    <row r="15" spans="1:16" x14ac:dyDescent="0.2">
      <c r="C15" t="s">
        <v>2</v>
      </c>
    </row>
    <row r="16" spans="1:16" x14ac:dyDescent="0.2">
      <c r="C16" t="s">
        <v>3</v>
      </c>
    </row>
    <row r="20" spans="1:3" x14ac:dyDescent="0.2">
      <c r="A20" s="1" t="s">
        <v>5</v>
      </c>
    </row>
    <row r="21" spans="1:3" x14ac:dyDescent="0.2">
      <c r="A21" t="s">
        <v>55</v>
      </c>
      <c r="C21" s="9">
        <v>4.1669999999999998</v>
      </c>
    </row>
    <row r="22" spans="1:3" x14ac:dyDescent="0.2">
      <c r="A22" t="s">
        <v>56</v>
      </c>
      <c r="C22" s="24">
        <v>4.1669999999999998</v>
      </c>
    </row>
    <row r="23" spans="1:3" x14ac:dyDescent="0.2">
      <c r="A23" t="s">
        <v>42</v>
      </c>
      <c r="C23" s="24">
        <v>4.1669999999999998</v>
      </c>
    </row>
    <row r="24" spans="1:3" x14ac:dyDescent="0.2">
      <c r="A24" t="s">
        <v>4</v>
      </c>
      <c r="C24" s="9">
        <f>SUM([1]case195!$B$2:$B$8761)/3600/1000000</f>
        <v>4.3573905330260017</v>
      </c>
    </row>
    <row r="25" spans="1:3" x14ac:dyDescent="0.2">
      <c r="A25" t="s">
        <v>9</v>
      </c>
      <c r="C25" s="5">
        <f>(C24-C23)/C23</f>
        <v>4.569007272042281E-2</v>
      </c>
    </row>
    <row r="26" spans="1:3" x14ac:dyDescent="0.2">
      <c r="A26" s="14" t="s">
        <v>57</v>
      </c>
      <c r="C26" s="6" t="str">
        <f>IF(C24&gt;=C21,IF(C24&lt;=C22,"YES","NO"),"NO")</f>
        <v>NO</v>
      </c>
    </row>
    <row r="29" spans="1:3" x14ac:dyDescent="0.2">
      <c r="A29" s="1" t="s">
        <v>6</v>
      </c>
    </row>
    <row r="30" spans="1:3" x14ac:dyDescent="0.2">
      <c r="A30" t="s">
        <v>55</v>
      </c>
      <c r="C30" s="24">
        <v>0.41399999999999998</v>
      </c>
    </row>
    <row r="31" spans="1:3" x14ac:dyDescent="0.2">
      <c r="A31" t="s">
        <v>56</v>
      </c>
      <c r="C31" s="24">
        <v>0.41399999999999998</v>
      </c>
    </row>
    <row r="32" spans="1:3" x14ac:dyDescent="0.2">
      <c r="A32" t="s">
        <v>42</v>
      </c>
      <c r="C32" s="24">
        <v>0.41399999999999998</v>
      </c>
    </row>
    <row r="33" spans="1:16" x14ac:dyDescent="0.2">
      <c r="A33" t="s">
        <v>4</v>
      </c>
      <c r="C33" s="9">
        <f>SUM([1]case195!$C$2:$C$8761)/3600/1000000</f>
        <v>0.41215669764007873</v>
      </c>
    </row>
    <row r="34" spans="1:16" x14ac:dyDescent="0.2">
      <c r="A34" t="s">
        <v>9</v>
      </c>
      <c r="C34" s="5">
        <f>(C33-C32)/C32</f>
        <v>-4.4524211592300742E-3</v>
      </c>
    </row>
    <row r="35" spans="1:16" x14ac:dyDescent="0.2">
      <c r="A35" s="14" t="s">
        <v>57</v>
      </c>
      <c r="C35" s="6" t="str">
        <f>IF(C33&gt;=C30,IF(C33&lt;=C31,"YES","NO"),"NO")</f>
        <v>NO</v>
      </c>
    </row>
    <row r="38" spans="1:16" x14ac:dyDescent="0.2">
      <c r="A38" s="1" t="s">
        <v>7</v>
      </c>
    </row>
    <row r="39" spans="1:16" x14ac:dyDescent="0.2">
      <c r="A39" t="s">
        <v>55</v>
      </c>
      <c r="C39" s="24">
        <v>2.004</v>
      </c>
    </row>
    <row r="40" spans="1:16" x14ac:dyDescent="0.2">
      <c r="A40" t="s">
        <v>56</v>
      </c>
      <c r="C40" s="24">
        <v>2.004</v>
      </c>
    </row>
    <row r="41" spans="1:16" x14ac:dyDescent="0.2">
      <c r="A41" t="s">
        <v>42</v>
      </c>
      <c r="C41" s="24">
        <v>2.004</v>
      </c>
    </row>
    <row r="42" spans="1:16" x14ac:dyDescent="0.2">
      <c r="A42" t="s">
        <v>4</v>
      </c>
      <c r="C42" s="9">
        <f>MAX([1]case195!$B$2:$B$8761)/3600/1000</f>
        <v>2.0902045656822996</v>
      </c>
    </row>
    <row r="43" spans="1:16" x14ac:dyDescent="0.2">
      <c r="A43" t="s">
        <v>9</v>
      </c>
      <c r="C43" s="5">
        <f>(C42-C41)/C41</f>
        <v>4.3016250340468867E-2</v>
      </c>
    </row>
    <row r="44" spans="1:16" x14ac:dyDescent="0.2">
      <c r="A44" s="14" t="s">
        <v>57</v>
      </c>
      <c r="C44" s="6" t="str">
        <f>IF(C42&gt;=C39,IF(C42&lt;=C40,"YES","NO"),"NO")</f>
        <v>NO</v>
      </c>
    </row>
    <row r="45" spans="1:16" x14ac:dyDescent="0.2">
      <c r="K45"/>
      <c r="P45"/>
    </row>
    <row r="46" spans="1:16" x14ac:dyDescent="0.2">
      <c r="K46"/>
      <c r="P46"/>
    </row>
    <row r="47" spans="1:16" x14ac:dyDescent="0.2">
      <c r="A47" s="1" t="s">
        <v>8</v>
      </c>
    </row>
    <row r="48" spans="1:16" x14ac:dyDescent="0.2">
      <c r="A48" t="s">
        <v>55</v>
      </c>
      <c r="C48" s="20">
        <v>0.65100000000000002</v>
      </c>
    </row>
    <row r="49" spans="1:16" x14ac:dyDescent="0.2">
      <c r="A49" t="s">
        <v>56</v>
      </c>
      <c r="C49" s="20">
        <v>0.65100000000000002</v>
      </c>
    </row>
    <row r="50" spans="1:16" x14ac:dyDescent="0.2">
      <c r="A50" t="s">
        <v>42</v>
      </c>
      <c r="C50" s="20">
        <v>0.65100000000000002</v>
      </c>
    </row>
    <row r="51" spans="1:16" x14ac:dyDescent="0.2">
      <c r="A51" t="s">
        <v>4</v>
      </c>
      <c r="C51" s="9">
        <f>MAX([1]case195!$C$2:$C$8761)/3600/1000</f>
        <v>0.72934807361156662</v>
      </c>
    </row>
    <row r="52" spans="1:16" x14ac:dyDescent="0.2">
      <c r="A52" t="s">
        <v>9</v>
      </c>
      <c r="C52" s="5">
        <f>(C51-C50)/C50</f>
        <v>0.1203503434893496</v>
      </c>
    </row>
    <row r="53" spans="1:16" x14ac:dyDescent="0.2">
      <c r="A53" s="14" t="s">
        <v>57</v>
      </c>
      <c r="C53" s="6" t="str">
        <f>IF(C51&gt;=C48,IF(C51&lt;=C49,"YES","NO"),"NO")</f>
        <v>NO</v>
      </c>
      <c r="K53"/>
      <c r="P53"/>
    </row>
    <row r="54" spans="1:16" x14ac:dyDescent="0.2">
      <c r="K54"/>
      <c r="P54"/>
    </row>
    <row r="60" spans="1:16" hidden="1" x14ac:dyDescent="0.2">
      <c r="C60" t="s">
        <v>27</v>
      </c>
    </row>
    <row r="61" spans="1:16" hidden="1" x14ac:dyDescent="0.2"/>
    <row r="62" spans="1:16" hidden="1" x14ac:dyDescent="0.2">
      <c r="D62" t="s">
        <v>21</v>
      </c>
    </row>
    <row r="63" spans="1:16" hidden="1" x14ac:dyDescent="0.2">
      <c r="D63" t="s">
        <v>22</v>
      </c>
    </row>
    <row r="64" spans="1:16" hidden="1" x14ac:dyDescent="0.2">
      <c r="D64" t="s">
        <v>26</v>
      </c>
    </row>
    <row r="65" spans="3:4" hidden="1" x14ac:dyDescent="0.2">
      <c r="D65" t="s">
        <v>23</v>
      </c>
    </row>
    <row r="66" spans="3:4" hidden="1" x14ac:dyDescent="0.2"/>
    <row r="67" spans="3:4" hidden="1" x14ac:dyDescent="0.2">
      <c r="C67" t="s">
        <v>28</v>
      </c>
    </row>
    <row r="68" spans="3:4" hidden="1" x14ac:dyDescent="0.2"/>
    <row r="69" spans="3:4" hidden="1" x14ac:dyDescent="0.2">
      <c r="D69" t="s">
        <v>21</v>
      </c>
    </row>
    <row r="70" spans="3:4" hidden="1" x14ac:dyDescent="0.2">
      <c r="D70" t="s">
        <v>22</v>
      </c>
    </row>
    <row r="71" spans="3:4" hidden="1" x14ac:dyDescent="0.2">
      <c r="D71" t="s">
        <v>26</v>
      </c>
    </row>
    <row r="72" spans="3:4" hidden="1" x14ac:dyDescent="0.2">
      <c r="D72" t="s">
        <v>23</v>
      </c>
    </row>
    <row r="73" spans="3:4" hidden="1" x14ac:dyDescent="0.2"/>
    <row r="74" spans="3:4" hidden="1" x14ac:dyDescent="0.2">
      <c r="C74" t="s">
        <v>25</v>
      </c>
    </row>
    <row r="75" spans="3:4" hidden="1" x14ac:dyDescent="0.2"/>
    <row r="76" spans="3:4" hidden="1" x14ac:dyDescent="0.2">
      <c r="D76" t="s">
        <v>21</v>
      </c>
    </row>
    <row r="77" spans="3:4" hidden="1" x14ac:dyDescent="0.2">
      <c r="D77" t="s">
        <v>22</v>
      </c>
    </row>
    <row r="78" spans="3:4" hidden="1" x14ac:dyDescent="0.2">
      <c r="D78" t="s">
        <v>26</v>
      </c>
    </row>
    <row r="79" spans="3:4" hidden="1" x14ac:dyDescent="0.2">
      <c r="D79" t="s">
        <v>23</v>
      </c>
    </row>
    <row r="80" spans="3:4" hidden="1" x14ac:dyDescent="0.2"/>
    <row r="81" spans="3:4" hidden="1" x14ac:dyDescent="0.2">
      <c r="C81" t="s">
        <v>24</v>
      </c>
    </row>
    <row r="82" spans="3:4" hidden="1" x14ac:dyDescent="0.2"/>
    <row r="83" spans="3:4" hidden="1" x14ac:dyDescent="0.2">
      <c r="D83" t="s">
        <v>21</v>
      </c>
    </row>
    <row r="84" spans="3:4" hidden="1" x14ac:dyDescent="0.2">
      <c r="D84" t="s">
        <v>22</v>
      </c>
    </row>
    <row r="85" spans="3:4" hidden="1" x14ac:dyDescent="0.2">
      <c r="D85" t="s">
        <v>26</v>
      </c>
    </row>
    <row r="86" spans="3:4" hidden="1" x14ac:dyDescent="0.2">
      <c r="D86" t="s">
        <v>23</v>
      </c>
    </row>
    <row r="87" spans="3:4" hidden="1" x14ac:dyDescent="0.2"/>
    <row r="88" spans="3:4" hidden="1" x14ac:dyDescent="0.2"/>
    <row r="89" spans="3:4" hidden="1" x14ac:dyDescent="0.2"/>
  </sheetData>
  <phoneticPr fontId="0" type="noConversion"/>
  <pageMargins left="0.25" right="0" top="0.25" bottom="0.25" header="0.5" footer="0.25"/>
  <pageSetup scale="76" orientation="landscape" r:id="rId1"/>
  <headerFooter alignWithMargins="0">
    <oddFooter>&amp;L&amp;F&amp;R&amp;D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workbookViewId="0">
      <selection activeCell="A2" sqref="A2"/>
    </sheetView>
  </sheetViews>
  <sheetFormatPr defaultRowHeight="12.75" x14ac:dyDescent="0.2"/>
  <cols>
    <col min="1" max="1" width="13.140625" customWidth="1"/>
    <col min="2" max="2" width="10" customWidth="1"/>
    <col min="3" max="3" width="9.140625" style="4"/>
    <col min="5" max="5" width="8.42578125" customWidth="1"/>
    <col min="6" max="6" width="3.5703125" customWidth="1"/>
    <col min="8" max="8" width="18.42578125" customWidth="1"/>
    <col min="9" max="9" width="10" bestFit="1" customWidth="1"/>
    <col min="10" max="10" width="22.140625" customWidth="1"/>
    <col min="12" max="12" width="16.7109375" customWidth="1"/>
    <col min="14" max="14" width="15.5703125" customWidth="1"/>
    <col min="16" max="16" width="11.7109375" customWidth="1"/>
    <col min="17" max="17" width="5.28515625" style="4" customWidth="1"/>
    <col min="18" max="18" width="11.7109375" customWidth="1"/>
    <col min="19" max="19" width="2.5703125" customWidth="1"/>
    <col min="20" max="21" width="11.7109375" customWidth="1"/>
    <col min="22" max="22" width="11.7109375" style="4" customWidth="1"/>
    <col min="23" max="23" width="11.7109375" customWidth="1"/>
  </cols>
  <sheetData>
    <row r="1" spans="1:29" ht="18" x14ac:dyDescent="0.25">
      <c r="A1" s="2" t="s">
        <v>107</v>
      </c>
    </row>
    <row r="2" spans="1:29" ht="15" x14ac:dyDescent="0.25">
      <c r="A2" s="12" t="s">
        <v>108</v>
      </c>
      <c r="C2"/>
      <c r="K2" s="4"/>
      <c r="P2" s="4"/>
      <c r="Q2"/>
      <c r="V2"/>
    </row>
    <row r="3" spans="1:29" ht="15" x14ac:dyDescent="0.25">
      <c r="A3" s="12"/>
      <c r="C3"/>
      <c r="Q3"/>
      <c r="T3" s="4"/>
      <c r="V3"/>
      <c r="X3" s="4"/>
      <c r="AC3" s="4"/>
    </row>
    <row r="4" spans="1:29" ht="15" x14ac:dyDescent="0.25">
      <c r="A4" s="12"/>
      <c r="C4"/>
      <c r="Q4"/>
      <c r="T4" s="4"/>
      <c r="V4"/>
      <c r="X4" s="4"/>
      <c r="AC4" s="4"/>
    </row>
    <row r="5" spans="1:29" ht="15" x14ac:dyDescent="0.25">
      <c r="A5" s="12"/>
      <c r="C5"/>
      <c r="Q5"/>
      <c r="T5" s="4"/>
      <c r="V5"/>
      <c r="X5" s="4"/>
      <c r="AC5" s="4"/>
    </row>
    <row r="6" spans="1:29" ht="15" x14ac:dyDescent="0.25">
      <c r="A6" s="12"/>
      <c r="C6"/>
      <c r="Q6"/>
      <c r="T6" s="4"/>
      <c r="V6"/>
      <c r="X6" s="4"/>
      <c r="AC6" s="4"/>
    </row>
    <row r="7" spans="1:29" ht="15" x14ac:dyDescent="0.25">
      <c r="A7" s="12"/>
      <c r="C7"/>
      <c r="Q7"/>
      <c r="T7" s="4"/>
      <c r="V7"/>
      <c r="X7" s="4"/>
      <c r="AC7" s="4"/>
    </row>
    <row r="8" spans="1:29" ht="15" x14ac:dyDescent="0.25">
      <c r="A8" s="12"/>
      <c r="C8"/>
      <c r="Q8"/>
      <c r="T8" s="4"/>
      <c r="V8"/>
      <c r="X8" s="4"/>
      <c r="AC8" s="4"/>
    </row>
    <row r="9" spans="1:29" ht="15" x14ac:dyDescent="0.25">
      <c r="A9" s="12" t="s">
        <v>47</v>
      </c>
      <c r="D9" s="20" t="s">
        <v>87</v>
      </c>
    </row>
    <row r="10" spans="1:29" x14ac:dyDescent="0.2">
      <c r="D10" s="3"/>
    </row>
    <row r="11" spans="1:29" x14ac:dyDescent="0.2">
      <c r="A11" s="1" t="s">
        <v>10</v>
      </c>
      <c r="C11" s="11">
        <v>600</v>
      </c>
      <c r="D11" s="3"/>
      <c r="G11" s="10">
        <v>610</v>
      </c>
      <c r="H11" s="1"/>
      <c r="I11" s="10">
        <v>620</v>
      </c>
      <c r="J11" s="1"/>
      <c r="K11" s="10">
        <v>630</v>
      </c>
      <c r="M11" s="10">
        <v>640</v>
      </c>
      <c r="O11" s="10">
        <v>650</v>
      </c>
    </row>
    <row r="12" spans="1:29" x14ac:dyDescent="0.2">
      <c r="G12" s="1"/>
      <c r="H12" s="1"/>
      <c r="I12" s="1"/>
      <c r="J12" s="1"/>
      <c r="K12" s="1"/>
      <c r="M12" s="1"/>
      <c r="O12" s="1"/>
    </row>
    <row r="13" spans="1:29" x14ac:dyDescent="0.2">
      <c r="A13" s="1" t="s">
        <v>0</v>
      </c>
      <c r="C13" s="8" t="s">
        <v>12</v>
      </c>
      <c r="G13" s="1" t="s">
        <v>19</v>
      </c>
      <c r="H13" s="1"/>
      <c r="I13" s="1" t="s">
        <v>30</v>
      </c>
      <c r="J13" s="1"/>
      <c r="K13" s="1" t="s">
        <v>31</v>
      </c>
      <c r="M13" s="1" t="s">
        <v>36</v>
      </c>
      <c r="O13" s="1" t="s">
        <v>94</v>
      </c>
    </row>
    <row r="14" spans="1:29" x14ac:dyDescent="0.2">
      <c r="C14" s="4" t="s">
        <v>13</v>
      </c>
      <c r="G14" t="s">
        <v>17</v>
      </c>
      <c r="I14" s="4" t="s">
        <v>29</v>
      </c>
      <c r="K14" t="s">
        <v>32</v>
      </c>
      <c r="M14" t="s">
        <v>37</v>
      </c>
      <c r="O14" t="s">
        <v>37</v>
      </c>
    </row>
    <row r="15" spans="1:29" x14ac:dyDescent="0.2">
      <c r="C15" s="4" t="s">
        <v>15</v>
      </c>
      <c r="G15" t="s">
        <v>20</v>
      </c>
      <c r="I15" s="4" t="s">
        <v>15</v>
      </c>
      <c r="K15" t="s">
        <v>33</v>
      </c>
      <c r="M15" t="s">
        <v>38</v>
      </c>
      <c r="O15" t="s">
        <v>95</v>
      </c>
    </row>
    <row r="16" spans="1:29" x14ac:dyDescent="0.2">
      <c r="C16" s="4" t="s">
        <v>16</v>
      </c>
      <c r="I16" s="4" t="s">
        <v>16</v>
      </c>
      <c r="K16" t="s">
        <v>34</v>
      </c>
      <c r="M16" t="s">
        <v>39</v>
      </c>
      <c r="O16" t="s">
        <v>96</v>
      </c>
    </row>
    <row r="17" spans="1:22" x14ac:dyDescent="0.2">
      <c r="C17" s="4" t="s">
        <v>14</v>
      </c>
      <c r="I17" s="4" t="s">
        <v>14</v>
      </c>
      <c r="K17" t="s">
        <v>35</v>
      </c>
      <c r="M17" t="s">
        <v>40</v>
      </c>
      <c r="O17" t="s">
        <v>97</v>
      </c>
    </row>
    <row r="18" spans="1:22" x14ac:dyDescent="0.2">
      <c r="C18" s="8" t="s">
        <v>18</v>
      </c>
      <c r="M18" t="s">
        <v>41</v>
      </c>
      <c r="O18" t="s">
        <v>18</v>
      </c>
    </row>
    <row r="19" spans="1:22" x14ac:dyDescent="0.2">
      <c r="C19" s="8" t="s">
        <v>18</v>
      </c>
    </row>
    <row r="20" spans="1:22" x14ac:dyDescent="0.2">
      <c r="A20" s="1" t="s">
        <v>5</v>
      </c>
    </row>
    <row r="21" spans="1:22" x14ac:dyDescent="0.2">
      <c r="A21" t="s">
        <v>55</v>
      </c>
      <c r="C21" s="4">
        <v>4.2960000000000003</v>
      </c>
      <c r="G21">
        <v>4.3550000000000004</v>
      </c>
      <c r="I21">
        <v>4.6130000000000004</v>
      </c>
      <c r="K21" s="4">
        <v>5.05</v>
      </c>
      <c r="M21">
        <v>2.7509999999999999</v>
      </c>
      <c r="O21">
        <v>0</v>
      </c>
    </row>
    <row r="22" spans="1:22" x14ac:dyDescent="0.2">
      <c r="A22" t="s">
        <v>56</v>
      </c>
      <c r="C22" s="4">
        <v>5.7089999999999996</v>
      </c>
      <c r="G22">
        <v>5.7859999999999996</v>
      </c>
      <c r="I22">
        <v>5.944</v>
      </c>
      <c r="K22">
        <v>6.4690000000000003</v>
      </c>
      <c r="M22">
        <v>3.8029999999999999</v>
      </c>
      <c r="O22">
        <v>0</v>
      </c>
    </row>
    <row r="23" spans="1:22" x14ac:dyDescent="0.2">
      <c r="A23" t="s">
        <v>42</v>
      </c>
      <c r="C23" s="4">
        <v>5.09</v>
      </c>
      <c r="G23">
        <v>5.1459999999999999</v>
      </c>
      <c r="I23">
        <v>5.407</v>
      </c>
      <c r="K23" s="20">
        <v>5.7830000000000004</v>
      </c>
      <c r="M23">
        <v>3.2069999999999999</v>
      </c>
      <c r="O23">
        <v>0</v>
      </c>
    </row>
    <row r="24" spans="1:22" x14ac:dyDescent="0.2">
      <c r="A24" t="s">
        <v>4</v>
      </c>
      <c r="C24" s="4">
        <f>SUM([2]case600!$B$2:$B$8761)/3600/1000000</f>
        <v>4.3784173907655699</v>
      </c>
      <c r="G24" s="4">
        <f>SUM([3]case610!$B$2:$B$8761)/3600/1000000</f>
        <v>4.4215314043653073</v>
      </c>
      <c r="I24" s="4">
        <f>SUM([4]case620!$B$2:$B$8761)/3600/1000000</f>
        <v>4.5502169423450081</v>
      </c>
      <c r="K24" s="4">
        <f>SUM([5]case630!$B$2:$B$8761)/3600/1000000</f>
        <v>4.8813992178224126</v>
      </c>
      <c r="M24" s="4">
        <f>SUM([6]case640!$B$2:$B$8761)/3600/1000000</f>
        <v>2.6842558832752892</v>
      </c>
      <c r="O24" s="4">
        <f>SUM([7]case650!$B$2:$B$8761)/3600/1000000</f>
        <v>0</v>
      </c>
    </row>
    <row r="25" spans="1:22" x14ac:dyDescent="0.2">
      <c r="A25" t="s">
        <v>9</v>
      </c>
      <c r="C25" s="5">
        <f>(C24-C23)/C23</f>
        <v>-0.1398001196924224</v>
      </c>
      <c r="G25" s="5">
        <f>(G24-G23)/G23</f>
        <v>-0.14078285962586332</v>
      </c>
      <c r="I25" s="5">
        <f>(I24-I23)/I23</f>
        <v>-0.15845812052061992</v>
      </c>
      <c r="K25" s="5">
        <f>(K24-K23)/K23</f>
        <v>-0.15590537474971256</v>
      </c>
      <c r="M25" s="5">
        <f>(M24-M23)/M23</f>
        <v>-0.16300097185054901</v>
      </c>
      <c r="O25" s="26" t="e">
        <f>(O24-O23)/O23</f>
        <v>#DIV/0!</v>
      </c>
    </row>
    <row r="26" spans="1:22" s="3" customFormat="1" x14ac:dyDescent="0.2">
      <c r="A26" s="14" t="s">
        <v>57</v>
      </c>
      <c r="C26" s="6" t="str">
        <f>IF(C24&gt;=C21,IF(C24&lt;=C22,"YES","NO"),"NO")</f>
        <v>YES</v>
      </c>
      <c r="G26" s="6" t="str">
        <f>IF(G24&gt;=G21,IF(G24&lt;=G22,"YES","NO"),"NO")</f>
        <v>YES</v>
      </c>
      <c r="I26" s="6" t="str">
        <f>IF(I24&gt;=I21,IF(I24&lt;=I22,"YES","NO"),"NO")</f>
        <v>NO</v>
      </c>
      <c r="K26" s="6" t="str">
        <f>IF(K24&gt;=K21,IF(K24&lt;=K22,"YES","NO"),"NO")</f>
        <v>NO</v>
      </c>
      <c r="M26" s="6" t="str">
        <f>IF(M24&gt;=M21,IF(M24&lt;=M22,"YES","NO"),"NO")</f>
        <v>NO</v>
      </c>
      <c r="O26" s="6" t="str">
        <f>IF(O24&gt;=O21,IF(O24&lt;=O22,"YES","NO"),"NO")</f>
        <v>YES</v>
      </c>
      <c r="Q26" s="6"/>
      <c r="V26" s="6"/>
    </row>
    <row r="27" spans="1:22" s="3" customFormat="1" x14ac:dyDescent="0.2">
      <c r="A27" s="14"/>
      <c r="C27" s="6"/>
      <c r="G27" s="6"/>
      <c r="I27" s="6"/>
      <c r="K27" s="6"/>
      <c r="M27" s="6"/>
      <c r="O27" s="6"/>
      <c r="Q27" s="6"/>
      <c r="V27" s="6"/>
    </row>
    <row r="29" spans="1:22" x14ac:dyDescent="0.2">
      <c r="A29" s="1" t="s">
        <v>6</v>
      </c>
    </row>
    <row r="30" spans="1:22" x14ac:dyDescent="0.2">
      <c r="A30" t="s">
        <v>55</v>
      </c>
      <c r="C30" s="4">
        <v>6.1369999999999996</v>
      </c>
      <c r="G30">
        <v>3.915</v>
      </c>
      <c r="I30">
        <v>3.4169999999999998</v>
      </c>
      <c r="K30">
        <v>2.129</v>
      </c>
      <c r="M30">
        <v>5.952</v>
      </c>
      <c r="O30">
        <v>4.8159999999999998</v>
      </c>
    </row>
    <row r="31" spans="1:22" x14ac:dyDescent="0.2">
      <c r="A31" t="s">
        <v>56</v>
      </c>
      <c r="C31" s="4">
        <v>7.9640000000000004</v>
      </c>
      <c r="G31">
        <v>5.7779999999999996</v>
      </c>
      <c r="I31">
        <v>5.0039999999999996</v>
      </c>
      <c r="K31">
        <v>3.7010000000000001</v>
      </c>
      <c r="M31">
        <v>7.8109999999999999</v>
      </c>
      <c r="O31">
        <v>6.5449999999999999</v>
      </c>
    </row>
    <row r="32" spans="1:22" x14ac:dyDescent="0.2">
      <c r="A32" t="s">
        <v>42</v>
      </c>
      <c r="C32" s="4">
        <v>6.8319999999999999</v>
      </c>
      <c r="G32">
        <v>4.9640000000000004</v>
      </c>
      <c r="I32">
        <v>4.218</v>
      </c>
      <c r="K32" s="20">
        <v>2.8319999999999999</v>
      </c>
      <c r="M32">
        <v>6.5919999999999996</v>
      </c>
      <c r="O32">
        <v>5.4820000000000002</v>
      </c>
    </row>
    <row r="33" spans="1:22" x14ac:dyDescent="0.2">
      <c r="A33" t="s">
        <v>4</v>
      </c>
      <c r="C33" s="4">
        <f>SUM([2]case600!$C$2:$C$8761)/3600/1000000</f>
        <v>6.7403897054987212</v>
      </c>
      <c r="G33" s="4">
        <f>SUM([3]case610!$C$2:$C$8761)/3600/1000000</f>
        <v>4.7464268644566854</v>
      </c>
      <c r="I33" s="4">
        <f>SUM([4]case620!$C$2:$C$8761)/3600/1000000</f>
        <v>4.1676074995693204</v>
      </c>
      <c r="J33" t="s">
        <v>18</v>
      </c>
      <c r="K33" s="4">
        <f>SUM([5]case630!$C$2:$C$8761)/3600/1000000</f>
        <v>2.7803719831226754</v>
      </c>
      <c r="M33" s="4">
        <f>SUM([6]case640!$C$2:$C$8761)/3600/1000000</f>
        <v>6.4538056917777471</v>
      </c>
      <c r="O33" s="4">
        <f>SUM([7]case650!$C$2:$C$8761)/3600/1000000</f>
        <v>5.3043887047640403</v>
      </c>
    </row>
    <row r="34" spans="1:22" x14ac:dyDescent="0.2">
      <c r="A34" t="s">
        <v>9</v>
      </c>
      <c r="C34" s="5">
        <f>(C33-C32)/C32</f>
        <v>-1.3409000951592311E-2</v>
      </c>
      <c r="G34" s="5">
        <f>(G33-G32)/G32</f>
        <v>-4.3830204581650892E-2</v>
      </c>
      <c r="I34" s="5">
        <f>(I33-I32)/I32</f>
        <v>-1.1947012904381119E-2</v>
      </c>
      <c r="K34" s="5">
        <f>(K33-K32)/K32</f>
        <v>-1.8230231948207783E-2</v>
      </c>
      <c r="M34" s="5">
        <f>(M33-M32)/M32</f>
        <v>-2.0963942388084428E-2</v>
      </c>
      <c r="O34" s="5">
        <f>(O33-O32)/O32</f>
        <v>-3.2398995847493589E-2</v>
      </c>
    </row>
    <row r="35" spans="1:22" s="3" customFormat="1" x14ac:dyDescent="0.2">
      <c r="A35" s="14" t="s">
        <v>57</v>
      </c>
      <c r="C35" s="6" t="str">
        <f>IF(C33&gt;=C30,IF(C33&lt;=C31,"YES","NO"),"NO")</f>
        <v>YES</v>
      </c>
      <c r="G35" s="6" t="str">
        <f>IF(G33&gt;=G30,IF(G33&lt;=G31,"YES","NO"),"NO")</f>
        <v>YES</v>
      </c>
      <c r="I35" s="6" t="str">
        <f>IF(I33&gt;=I30,IF(I33&lt;=I31,"YES","NO"),"NO")</f>
        <v>YES</v>
      </c>
      <c r="K35" s="6" t="str">
        <f>IF(K33&gt;=K30,IF(K33&lt;=K31,"YES","NO"),"NO")</f>
        <v>YES</v>
      </c>
      <c r="M35" s="6" t="str">
        <f>IF(M33&gt;=M30,IF(M33&lt;=M31,"YES","NO"),"NO")</f>
        <v>YES</v>
      </c>
      <c r="O35" s="6" t="str">
        <f>IF(O33&gt;=O30,IF(O33&lt;=O31,"YES","NO"),"NO")</f>
        <v>YES</v>
      </c>
      <c r="Q35" s="6"/>
      <c r="V35" s="6"/>
    </row>
    <row r="36" spans="1:22" s="3" customFormat="1" x14ac:dyDescent="0.2">
      <c r="A36" s="14"/>
      <c r="C36" s="6"/>
      <c r="G36" s="6"/>
      <c r="I36" s="6"/>
      <c r="K36" s="6"/>
      <c r="M36" s="6"/>
      <c r="O36" s="6"/>
      <c r="Q36" s="6"/>
      <c r="V36" s="6"/>
    </row>
    <row r="38" spans="1:22" x14ac:dyDescent="0.2">
      <c r="A38" s="1" t="s">
        <v>7</v>
      </c>
    </row>
    <row r="39" spans="1:22" x14ac:dyDescent="0.2">
      <c r="A39" t="s">
        <v>55</v>
      </c>
      <c r="C39" s="4">
        <v>3.4369999999999998</v>
      </c>
      <c r="G39">
        <v>3.4369999999999998</v>
      </c>
      <c r="I39">
        <v>3.5910000000000002</v>
      </c>
      <c r="K39">
        <v>3.5920000000000001</v>
      </c>
      <c r="M39">
        <v>5.2320000000000002</v>
      </c>
      <c r="O39">
        <v>0</v>
      </c>
    </row>
    <row r="40" spans="1:22" x14ac:dyDescent="0.2">
      <c r="A40" t="s">
        <v>56</v>
      </c>
      <c r="C40" s="4">
        <v>4.3540000000000001</v>
      </c>
      <c r="G40">
        <v>4.3540000000000001</v>
      </c>
      <c r="I40">
        <v>4.3789999999999996</v>
      </c>
      <c r="K40" s="4">
        <v>4.28</v>
      </c>
      <c r="M40">
        <v>6.9539999999999997</v>
      </c>
      <c r="O40">
        <v>0</v>
      </c>
    </row>
    <row r="41" spans="1:22" x14ac:dyDescent="0.2">
      <c r="A41" t="s">
        <v>42</v>
      </c>
      <c r="C41" s="21">
        <v>4</v>
      </c>
      <c r="G41" s="20">
        <v>3.9980000000000002</v>
      </c>
      <c r="I41" s="20">
        <v>4.0620000000000003</v>
      </c>
      <c r="K41" s="20">
        <v>4.0060000000000002</v>
      </c>
      <c r="M41" s="20">
        <v>6.0309999999999997</v>
      </c>
      <c r="O41" s="25">
        <v>0</v>
      </c>
    </row>
    <row r="42" spans="1:22" x14ac:dyDescent="0.2">
      <c r="A42" t="s">
        <v>4</v>
      </c>
      <c r="C42" s="4">
        <f>MAX([2]case600!$B$2:$B$8761)/3600/1000</f>
        <v>3.7500803840701664</v>
      </c>
      <c r="G42" s="4">
        <f>MAX([3]case610!$B$2:$B$8761)/3600/1000</f>
        <v>3.7396061907233333</v>
      </c>
      <c r="I42" s="4">
        <f>MAX([4]case620!$B$2:$B$8761)/3600/1000</f>
        <v>3.7409462317529445</v>
      </c>
      <c r="K42" s="4">
        <f>MAX([5]case630!$B$2:$B$8761)/3600/1000</f>
        <v>3.7206024113968055</v>
      </c>
      <c r="M42" s="4">
        <f>MAX([6]case640!$B$2:$B$8761)/3600/1000</f>
        <v>6.2767966572989717</v>
      </c>
      <c r="O42" s="4">
        <f>MAX([7]case650!$B$2:$B$8761)/3600/1000</f>
        <v>0</v>
      </c>
    </row>
    <row r="43" spans="1:22" x14ac:dyDescent="0.2">
      <c r="A43" t="s">
        <v>9</v>
      </c>
      <c r="C43" s="5">
        <f>(C42-C41)/C41</f>
        <v>-6.2479903982458396E-2</v>
      </c>
      <c r="G43" s="5">
        <f>(G42-G41)/G41</f>
        <v>-6.4630767703018233E-2</v>
      </c>
      <c r="I43" s="5">
        <f>(I42-I41)/I41</f>
        <v>-7.9038347672834991E-2</v>
      </c>
      <c r="K43" s="5">
        <f>(K42-K41)/K41</f>
        <v>-7.1242533350772519E-2</v>
      </c>
      <c r="M43" s="5">
        <f>(M42-M41)/M41</f>
        <v>4.0755539263633241E-2</v>
      </c>
      <c r="O43" s="26" t="e">
        <f>(O42-O41)/O41</f>
        <v>#DIV/0!</v>
      </c>
    </row>
    <row r="44" spans="1:22" x14ac:dyDescent="0.2">
      <c r="A44" s="14" t="s">
        <v>57</v>
      </c>
      <c r="C44" s="6" t="str">
        <f>IF(C42&gt;=C39,IF(C42&lt;=C40,"YES","NO"),"NO")</f>
        <v>YES</v>
      </c>
      <c r="G44" s="6" t="str">
        <f>IF(G42&gt;=G39,IF(G42&lt;=G40,"YES","NO"),"NO")</f>
        <v>YES</v>
      </c>
      <c r="I44" s="6" t="str">
        <f>IF(I42&gt;=I39,IF(I42&lt;=I40,"YES","NO"),"NO")</f>
        <v>YES</v>
      </c>
      <c r="K44" s="6" t="str">
        <f>IF(K42&gt;=K39,IF(K42&lt;=K40,"YES","NO"),"NO")</f>
        <v>YES</v>
      </c>
      <c r="M44" s="6" t="str">
        <f>IF(M42&gt;=M39,IF(M42&lt;=M40,"YES","NO"),"NO")</f>
        <v>YES</v>
      </c>
      <c r="O44" s="6" t="str">
        <f>IF(O42&gt;=O39,IF(O42&lt;=O40,"YES","NO"),"NO")</f>
        <v>YES</v>
      </c>
    </row>
    <row r="45" spans="1:22" x14ac:dyDescent="0.2">
      <c r="A45" s="14"/>
      <c r="C45" s="6"/>
      <c r="G45" s="6"/>
      <c r="I45" s="6"/>
      <c r="K45" s="6"/>
      <c r="M45" s="6"/>
      <c r="O45" s="6"/>
    </row>
    <row r="47" spans="1:22" x14ac:dyDescent="0.2">
      <c r="A47" s="1" t="s">
        <v>8</v>
      </c>
    </row>
    <row r="48" spans="1:22" x14ac:dyDescent="0.2">
      <c r="A48" t="s">
        <v>55</v>
      </c>
      <c r="C48" s="4">
        <v>5.9649999999999999</v>
      </c>
      <c r="G48">
        <v>5.6689999999999996</v>
      </c>
      <c r="I48">
        <v>3.6339999999999999</v>
      </c>
      <c r="K48">
        <v>3.0720000000000001</v>
      </c>
      <c r="M48">
        <v>5.8920000000000003</v>
      </c>
      <c r="O48">
        <v>5.8310000000000004</v>
      </c>
    </row>
    <row r="49" spans="1:22" x14ac:dyDescent="0.2">
      <c r="A49" t="s">
        <v>56</v>
      </c>
      <c r="C49" s="21">
        <v>6.827</v>
      </c>
      <c r="G49" s="20">
        <v>6.3710000000000004</v>
      </c>
      <c r="I49" s="20">
        <v>5.0960000000000001</v>
      </c>
      <c r="K49" s="20">
        <v>4.1159999999999997</v>
      </c>
      <c r="M49" s="20">
        <v>6.7759999999999998</v>
      </c>
      <c r="O49" s="20">
        <v>6.6790000000000003</v>
      </c>
    </row>
    <row r="50" spans="1:22" x14ac:dyDescent="0.2">
      <c r="A50" t="s">
        <v>42</v>
      </c>
      <c r="C50" s="21">
        <v>6.4610000000000003</v>
      </c>
      <c r="G50" s="20">
        <v>5.9880000000000004</v>
      </c>
      <c r="I50" s="22">
        <v>4.343</v>
      </c>
      <c r="K50" s="20">
        <v>3.6259999999999999</v>
      </c>
      <c r="M50" s="21">
        <v>6.41</v>
      </c>
      <c r="O50" s="21">
        <v>6.3209999999999997</v>
      </c>
    </row>
    <row r="51" spans="1:22" x14ac:dyDescent="0.2">
      <c r="A51" t="s">
        <v>4</v>
      </c>
      <c r="C51" s="4">
        <f>MAX([2]case600!$C$2:$C$8761)/3600/1000</f>
        <v>6.5654637193002214</v>
      </c>
      <c r="G51" s="4">
        <f>MAX([3]case610!$C$2:$C$8761)/3600/1000</f>
        <v>6.1644833817656108</v>
      </c>
      <c r="I51" s="4">
        <f>MAX([4]case620!$C$2:$C$8761)/3600/1000</f>
        <v>3.920638148063333</v>
      </c>
      <c r="K51" s="4">
        <f>MAX([5]case630!$C$2:$C$8761)/3600/1000</f>
        <v>3.3760970726459441</v>
      </c>
      <c r="M51" s="4">
        <f>MAX([6]case640!$C$2:$C$8761)/3600/1000</f>
        <v>6.5011509625394446</v>
      </c>
      <c r="O51" s="4">
        <f>MAX([7]case650!$C$2:$C$8761)/3600/1000</f>
        <v>6.3727332740929157</v>
      </c>
    </row>
    <row r="52" spans="1:22" x14ac:dyDescent="0.2">
      <c r="A52" t="s">
        <v>9</v>
      </c>
      <c r="C52" s="5">
        <f>(C51-C50)/C50</f>
        <v>1.6168351540043511E-2</v>
      </c>
      <c r="G52" s="5">
        <f>(G51-G50)/G50</f>
        <v>2.9472842646227519E-2</v>
      </c>
      <c r="I52" s="5">
        <f>(I51-I50)/I50</f>
        <v>-9.7251174749405242E-2</v>
      </c>
      <c r="K52" s="5">
        <f>(K51-K50)/K50</f>
        <v>-6.8919726242155505E-2</v>
      </c>
      <c r="M52" s="5">
        <f>(M51-M50)/M50</f>
        <v>1.4220118960911769E-2</v>
      </c>
      <c r="O52" s="5">
        <f>(O51-O50)/O50</f>
        <v>8.184349642922948E-3</v>
      </c>
    </row>
    <row r="53" spans="1:22" x14ac:dyDescent="0.2">
      <c r="A53" s="14" t="s">
        <v>57</v>
      </c>
      <c r="C53" s="6" t="str">
        <f>IF(C51&gt;=C48,IF(C51&lt;=C49,"YES","NO"),"NO")</f>
        <v>YES</v>
      </c>
      <c r="G53" s="6" t="str">
        <f>IF(G51&gt;=G48,IF(G51&lt;=G49,"YES","NO"),"NO")</f>
        <v>YES</v>
      </c>
      <c r="I53" s="6" t="str">
        <f>IF(I51&gt;=I48,IF(I51&lt;=I49,"YES","NO"),"NO")</f>
        <v>YES</v>
      </c>
      <c r="K53" s="6" t="str">
        <f>IF(K51&gt;=K48,IF(K51&lt;=K49,"YES","NO"),"NO")</f>
        <v>YES</v>
      </c>
      <c r="M53" s="6" t="str">
        <f>IF(M51&gt;=M48,IF(M51&lt;=M49,"YES","NO"),"NO")</f>
        <v>YES</v>
      </c>
      <c r="O53" s="6" t="str">
        <f>IF(O51&gt;=O48,IF(O51&lt;=O49,"YES","NO"),"NO")</f>
        <v>YES</v>
      </c>
      <c r="Q53"/>
      <c r="V53"/>
    </row>
    <row r="54" spans="1:22" x14ac:dyDescent="0.2">
      <c r="C54"/>
      <c r="Q54"/>
      <c r="V54"/>
    </row>
  </sheetData>
  <phoneticPr fontId="0" type="noConversion"/>
  <pageMargins left="0.5" right="0.25" top="0.25" bottom="0.25" header="0.5" footer="0.25"/>
  <pageSetup scale="70" orientation="landscape" verticalDpi="300" r:id="rId1"/>
  <headerFooter alignWithMargins="0">
    <oddFooter>&amp;L&amp;F&amp;R&amp;D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workbookViewId="0">
      <selection activeCell="A2" sqref="A2"/>
    </sheetView>
  </sheetViews>
  <sheetFormatPr defaultRowHeight="12.75" x14ac:dyDescent="0.2"/>
  <cols>
    <col min="1" max="1" width="13.140625" customWidth="1"/>
    <col min="2" max="2" width="10" customWidth="1"/>
    <col min="3" max="3" width="9.140625" style="4"/>
    <col min="5" max="5" width="8.42578125" customWidth="1"/>
    <col min="6" max="6" width="3.5703125" customWidth="1"/>
    <col min="8" max="8" width="18.42578125" customWidth="1"/>
    <col min="9" max="9" width="10" bestFit="1" customWidth="1"/>
    <col min="10" max="10" width="22.140625" customWidth="1"/>
    <col min="12" max="12" width="16.7109375" customWidth="1"/>
    <col min="15" max="15" width="5.5703125" customWidth="1"/>
    <col min="18" max="18" width="6.140625" customWidth="1"/>
    <col min="21" max="21" width="6.140625" customWidth="1"/>
    <col min="22" max="22" width="2.42578125" customWidth="1"/>
    <col min="23" max="24" width="11.7109375" customWidth="1"/>
    <col min="25" max="25" width="11.7109375" style="4" customWidth="1"/>
    <col min="26" max="26" width="11.7109375" customWidth="1"/>
    <col min="27" max="27" width="2.5703125" customWidth="1"/>
    <col min="28" max="29" width="11.7109375" customWidth="1"/>
    <col min="30" max="30" width="11.7109375" style="4" customWidth="1"/>
    <col min="31" max="31" width="11.7109375" customWidth="1"/>
  </cols>
  <sheetData>
    <row r="1" spans="1:37" ht="18" x14ac:dyDescent="0.25">
      <c r="A1" s="2" t="s">
        <v>107</v>
      </c>
    </row>
    <row r="2" spans="1:37" ht="15" x14ac:dyDescent="0.25">
      <c r="A2" s="12" t="s">
        <v>108</v>
      </c>
      <c r="C2"/>
      <c r="K2" s="4"/>
      <c r="P2" s="4"/>
      <c r="Y2"/>
      <c r="AD2"/>
    </row>
    <row r="3" spans="1:37" ht="15" x14ac:dyDescent="0.25">
      <c r="A3" s="12"/>
    </row>
    <row r="4" spans="1:37" ht="15" x14ac:dyDescent="0.25">
      <c r="A4" s="12"/>
      <c r="C4"/>
      <c r="Y4"/>
      <c r="AB4" s="4"/>
      <c r="AD4"/>
      <c r="AF4" s="4"/>
      <c r="AK4" s="4"/>
    </row>
    <row r="5" spans="1:37" ht="15" x14ac:dyDescent="0.25">
      <c r="A5" s="12"/>
      <c r="C5"/>
      <c r="Y5"/>
      <c r="AB5" s="4"/>
      <c r="AD5"/>
      <c r="AF5" s="4"/>
      <c r="AK5" s="4"/>
    </row>
    <row r="6" spans="1:37" ht="15" x14ac:dyDescent="0.25">
      <c r="A6" s="12"/>
      <c r="C6"/>
      <c r="Y6"/>
      <c r="AB6" s="4"/>
      <c r="AD6"/>
      <c r="AF6" s="4"/>
      <c r="AK6" s="4"/>
    </row>
    <row r="7" spans="1:37" ht="15" x14ac:dyDescent="0.25">
      <c r="A7" s="12"/>
      <c r="C7"/>
      <c r="Y7"/>
      <c r="AB7" s="4"/>
      <c r="AD7"/>
      <c r="AF7" s="4"/>
      <c r="AK7" s="4"/>
    </row>
    <row r="8" spans="1:37" ht="15" x14ac:dyDescent="0.25">
      <c r="A8" s="12"/>
      <c r="C8"/>
      <c r="Y8"/>
      <c r="AB8" s="4"/>
      <c r="AD8"/>
      <c r="AF8" s="4"/>
      <c r="AK8" s="4"/>
    </row>
    <row r="9" spans="1:37" ht="15" x14ac:dyDescent="0.25">
      <c r="A9" s="12" t="s">
        <v>46</v>
      </c>
      <c r="C9"/>
      <c r="D9" s="20" t="s">
        <v>87</v>
      </c>
      <c r="Y9"/>
      <c r="AB9" s="4"/>
      <c r="AD9"/>
      <c r="AF9" s="4"/>
      <c r="AK9" s="4"/>
    </row>
    <row r="10" spans="1:37" x14ac:dyDescent="0.2">
      <c r="D10" s="3"/>
    </row>
    <row r="11" spans="1:37" x14ac:dyDescent="0.2">
      <c r="A11" s="1" t="s">
        <v>10</v>
      </c>
      <c r="C11" s="11">
        <v>900</v>
      </c>
      <c r="D11" s="3"/>
      <c r="G11" s="10">
        <v>910</v>
      </c>
      <c r="H11" s="1"/>
      <c r="I11" s="10">
        <v>920</v>
      </c>
      <c r="J11" s="1"/>
      <c r="K11" s="10">
        <v>930</v>
      </c>
      <c r="M11" s="10">
        <v>940</v>
      </c>
      <c r="P11" s="10">
        <v>960</v>
      </c>
      <c r="S11" s="10">
        <v>950</v>
      </c>
    </row>
    <row r="12" spans="1:37" x14ac:dyDescent="0.2">
      <c r="G12" s="1"/>
      <c r="H12" s="1"/>
      <c r="I12" s="1"/>
      <c r="J12" s="1"/>
      <c r="K12" s="1"/>
      <c r="M12" s="1"/>
      <c r="P12" s="1"/>
      <c r="S12" s="1"/>
    </row>
    <row r="13" spans="1:37" x14ac:dyDescent="0.2">
      <c r="A13" s="1" t="s">
        <v>0</v>
      </c>
      <c r="C13" s="8" t="s">
        <v>12</v>
      </c>
      <c r="G13" s="1" t="s">
        <v>19</v>
      </c>
      <c r="H13" s="1"/>
      <c r="I13" s="1" t="s">
        <v>30</v>
      </c>
      <c r="J13" s="1"/>
      <c r="K13" s="1" t="s">
        <v>31</v>
      </c>
      <c r="M13" s="1" t="s">
        <v>36</v>
      </c>
      <c r="P13" s="1" t="s">
        <v>89</v>
      </c>
      <c r="S13" s="1" t="s">
        <v>94</v>
      </c>
    </row>
    <row r="14" spans="1:37" x14ac:dyDescent="0.2">
      <c r="C14" s="4" t="s">
        <v>13</v>
      </c>
      <c r="G14" t="s">
        <v>43</v>
      </c>
      <c r="I14" s="4" t="s">
        <v>29</v>
      </c>
      <c r="K14" t="s">
        <v>44</v>
      </c>
      <c r="M14" t="s">
        <v>45</v>
      </c>
      <c r="P14" t="s">
        <v>90</v>
      </c>
      <c r="S14" t="s">
        <v>45</v>
      </c>
    </row>
    <row r="15" spans="1:37" x14ac:dyDescent="0.2">
      <c r="C15" s="4" t="s">
        <v>15</v>
      </c>
      <c r="G15" t="s">
        <v>20</v>
      </c>
      <c r="I15" s="4" t="s">
        <v>15</v>
      </c>
      <c r="K15" t="s">
        <v>33</v>
      </c>
      <c r="M15" t="s">
        <v>38</v>
      </c>
      <c r="P15" t="s">
        <v>91</v>
      </c>
      <c r="S15" t="s">
        <v>95</v>
      </c>
    </row>
    <row r="16" spans="1:37" x14ac:dyDescent="0.2">
      <c r="C16" s="4" t="s">
        <v>16</v>
      </c>
      <c r="I16" s="4" t="s">
        <v>16</v>
      </c>
      <c r="K16" t="s">
        <v>34</v>
      </c>
      <c r="M16" t="s">
        <v>39</v>
      </c>
      <c r="P16" t="s">
        <v>92</v>
      </c>
      <c r="S16" t="s">
        <v>96</v>
      </c>
    </row>
    <row r="17" spans="1:19" x14ac:dyDescent="0.2">
      <c r="C17" s="4" t="s">
        <v>14</v>
      </c>
      <c r="I17" s="4" t="s">
        <v>14</v>
      </c>
      <c r="K17" t="s">
        <v>35</v>
      </c>
      <c r="M17" t="s">
        <v>40</v>
      </c>
      <c r="P17" t="s">
        <v>93</v>
      </c>
      <c r="S17" t="s">
        <v>97</v>
      </c>
    </row>
    <row r="18" spans="1:19" x14ac:dyDescent="0.2">
      <c r="C18" s="8" t="s">
        <v>18</v>
      </c>
      <c r="M18" t="s">
        <v>41</v>
      </c>
      <c r="P18" t="s">
        <v>18</v>
      </c>
      <c r="S18" t="s">
        <v>18</v>
      </c>
    </row>
    <row r="19" spans="1:19" x14ac:dyDescent="0.2">
      <c r="C19" s="8" t="s">
        <v>18</v>
      </c>
    </row>
    <row r="20" spans="1:19" x14ac:dyDescent="0.2">
      <c r="A20" s="1" t="s">
        <v>5</v>
      </c>
    </row>
    <row r="21" spans="1:19" x14ac:dyDescent="0.2">
      <c r="A21" t="s">
        <v>55</v>
      </c>
      <c r="C21" s="4">
        <v>1.17</v>
      </c>
      <c r="G21">
        <v>1.575</v>
      </c>
      <c r="I21">
        <v>3.3130000000000002</v>
      </c>
      <c r="K21">
        <v>4.1429999999999998</v>
      </c>
      <c r="M21">
        <v>0.79300000000000004</v>
      </c>
      <c r="P21">
        <v>2.3109999999999999</v>
      </c>
      <c r="S21">
        <v>0</v>
      </c>
    </row>
    <row r="22" spans="1:19" x14ac:dyDescent="0.2">
      <c r="A22" t="s">
        <v>56</v>
      </c>
      <c r="C22" s="4">
        <v>2.0409999999999999</v>
      </c>
      <c r="G22">
        <v>2.282</v>
      </c>
      <c r="I22" s="4">
        <v>4.3</v>
      </c>
      <c r="K22">
        <v>5.335</v>
      </c>
      <c r="M22">
        <v>1.411</v>
      </c>
      <c r="P22">
        <v>3.3730000000000002</v>
      </c>
      <c r="S22">
        <v>0</v>
      </c>
    </row>
    <row r="23" spans="1:19" x14ac:dyDescent="0.2">
      <c r="A23" t="s">
        <v>42</v>
      </c>
      <c r="C23" s="4">
        <v>1.7450000000000001</v>
      </c>
      <c r="G23">
        <v>2.0659999999999998</v>
      </c>
      <c r="I23">
        <v>3.9729999999999999</v>
      </c>
      <c r="K23" s="21">
        <v>4.7450000000000001</v>
      </c>
      <c r="M23" s="4">
        <v>1.1599999999999999</v>
      </c>
      <c r="P23">
        <v>2.8460000000000001</v>
      </c>
      <c r="S23">
        <v>0</v>
      </c>
    </row>
    <row r="24" spans="1:19" x14ac:dyDescent="0.2">
      <c r="A24" t="s">
        <v>4</v>
      </c>
      <c r="C24" s="4">
        <f>SUM([8]case900!$B$2:$B$8761)/3600/1000000</f>
        <v>1.2237064855787012</v>
      </c>
      <c r="G24" s="4">
        <f>SUM([9]case910!$B$2:$B$8761)/3600/1000000</f>
        <v>1.5058206356438613</v>
      </c>
      <c r="I24" s="4">
        <f>SUM([10]case920!$B$2:$B$8761)/3600/1000000</f>
        <v>3.1930816554431765</v>
      </c>
      <c r="K24" s="4">
        <f>SUM([11]case930!$B$2:$B$8761)/3600/1000000</f>
        <v>3.9061957698822609</v>
      </c>
      <c r="M24" s="4">
        <f>SUM([12]case940!$B$2:$B$8761)/3600/1000000</f>
        <v>0.76810017668157116</v>
      </c>
      <c r="P24" s="4">
        <f>SUM([13]case960!$B$2:$B$8761)/3600/1000000</f>
        <v>2.408270808653183</v>
      </c>
      <c r="S24" s="4">
        <f>SUM([14]case950!$B$2:$B$8761)/3600/1000000</f>
        <v>0</v>
      </c>
    </row>
    <row r="25" spans="1:19" x14ac:dyDescent="0.2">
      <c r="A25" t="s">
        <v>9</v>
      </c>
      <c r="C25" s="5">
        <f>(C24-C23)/C23</f>
        <v>-0.29873553835031452</v>
      </c>
      <c r="G25" s="5">
        <f>(G24-G23)/G23</f>
        <v>-0.27114199630016389</v>
      </c>
      <c r="I25" s="5">
        <f>(I24-I23)/I23</f>
        <v>-0.19630464247591831</v>
      </c>
      <c r="K25" s="5">
        <f>(K24-K23)/K23</f>
        <v>-0.17677644470342238</v>
      </c>
      <c r="M25" s="5">
        <f>(M24-M23)/M23</f>
        <v>-0.33784467527450757</v>
      </c>
      <c r="P25" s="5">
        <f>(P24-P23)/P23</f>
        <v>-0.15380505669248667</v>
      </c>
      <c r="S25" s="26" t="e">
        <f>(S24-S23)/S23</f>
        <v>#DIV/0!</v>
      </c>
    </row>
    <row r="26" spans="1:19" x14ac:dyDescent="0.2">
      <c r="A26" s="14" t="s">
        <v>57</v>
      </c>
      <c r="C26" s="6" t="str">
        <f>IF(C24&gt;=C21,IF(C24&lt;=C22,"YES","NO"),"NO")</f>
        <v>YES</v>
      </c>
      <c r="G26" s="6" t="str">
        <f>IF(G24&gt;=G21,IF(G24&lt;=G22,"YES","NO"),"NO")</f>
        <v>NO</v>
      </c>
      <c r="I26" s="6" t="str">
        <f>IF(I24&gt;=I21,IF(I24&lt;=I22,"YES","NO"),"NO")</f>
        <v>NO</v>
      </c>
      <c r="K26" s="6" t="str">
        <f>IF(K24&gt;=K21,IF(K24&lt;=K22,"YES","NO"),"NO")</f>
        <v>NO</v>
      </c>
      <c r="M26" s="6" t="str">
        <f>IF(M24&gt;=M21,IF(M24&lt;=M22,"YES","NO"),"NO")</f>
        <v>NO</v>
      </c>
      <c r="P26" s="6" t="str">
        <f>IF(P24&gt;=P21,IF(P24&lt;=P22,"YES","NO"),"NO")</f>
        <v>YES</v>
      </c>
      <c r="S26" s="6" t="str">
        <f>IF(S24&gt;=S21,IF(S24&lt;=S22,"YES","NO"),"NO")</f>
        <v>YES</v>
      </c>
    </row>
    <row r="29" spans="1:19" x14ac:dyDescent="0.2">
      <c r="A29" s="1" t="s">
        <v>6</v>
      </c>
    </row>
    <row r="30" spans="1:19" x14ac:dyDescent="0.2">
      <c r="A30" t="s">
        <v>55</v>
      </c>
      <c r="C30" s="4">
        <v>2.1320000000000001</v>
      </c>
      <c r="G30">
        <v>0.82099999999999995</v>
      </c>
      <c r="I30" s="4">
        <v>1.84</v>
      </c>
      <c r="K30">
        <v>1.0389999999999999</v>
      </c>
      <c r="M30">
        <v>2.0790000000000002</v>
      </c>
      <c r="P30">
        <v>0.41099999999999998</v>
      </c>
      <c r="S30">
        <v>0.38700000000000001</v>
      </c>
    </row>
    <row r="31" spans="1:19" x14ac:dyDescent="0.2">
      <c r="A31" t="s">
        <v>56</v>
      </c>
      <c r="C31" s="4">
        <v>3.415</v>
      </c>
      <c r="G31">
        <v>1.8720000000000001</v>
      </c>
      <c r="I31">
        <v>3.0920000000000001</v>
      </c>
      <c r="K31">
        <v>2.238</v>
      </c>
      <c r="M31">
        <v>3.2410000000000001</v>
      </c>
      <c r="P31">
        <v>0.80300000000000005</v>
      </c>
      <c r="S31">
        <v>0.92100000000000004</v>
      </c>
    </row>
    <row r="32" spans="1:19" x14ac:dyDescent="0.2">
      <c r="A32" t="s">
        <v>42</v>
      </c>
      <c r="C32" s="4">
        <v>2.6779999999999999</v>
      </c>
      <c r="G32">
        <v>1.4470000000000001</v>
      </c>
      <c r="I32">
        <v>2.552</v>
      </c>
      <c r="K32" s="21">
        <v>1.6439999999999999</v>
      </c>
      <c r="M32">
        <v>2.5779999999999998</v>
      </c>
      <c r="P32">
        <v>0.61799999999999999</v>
      </c>
      <c r="S32">
        <v>0.60499999999999998</v>
      </c>
    </row>
    <row r="33" spans="1:19" x14ac:dyDescent="0.2">
      <c r="A33" t="s">
        <v>4</v>
      </c>
      <c r="C33" s="4">
        <f>SUM([8]case900!$C$2:$C$8761)/3600/1000000</f>
        <v>2.5076520639344002</v>
      </c>
      <c r="G33" s="4">
        <f>SUM([9]case910!$C$2:$C$8761)/3600/1000000</f>
        <v>1.2347752524879096</v>
      </c>
      <c r="I33" s="4">
        <f>SUM([10]case920!$C$2:$C$8761)/3600/1000000</f>
        <v>2.5484582767623656</v>
      </c>
      <c r="J33" t="s">
        <v>18</v>
      </c>
      <c r="K33" s="4">
        <f>SUM([11]case930!$C$2:$C$8761)/3600/1000000</f>
        <v>1.6378051895516283</v>
      </c>
      <c r="M33" s="4">
        <f>SUM([12]case940!$C$2:$C$8761)/3600/1000000</f>
        <v>2.4333206774971448</v>
      </c>
      <c r="P33" s="4">
        <f>SUM([13]case960!$C$2:$C$8761)/3600/1000000</f>
        <v>0.63954037160890342</v>
      </c>
      <c r="S33" s="4">
        <f>SUM([14]case950!$C$2:$C$8761)/3600/1000000</f>
        <v>0.52979569095833057</v>
      </c>
    </row>
    <row r="34" spans="1:19" x14ac:dyDescent="0.2">
      <c r="A34" t="s">
        <v>9</v>
      </c>
      <c r="C34" s="5">
        <f>(C33-C32)/C32</f>
        <v>-6.3610132959521934E-2</v>
      </c>
      <c r="G34" s="5">
        <f>(G33-G32)/G32</f>
        <v>-0.14666534036771969</v>
      </c>
      <c r="I34" s="5">
        <f>(I33-I32)/I32</f>
        <v>-1.3878225852799624E-3</v>
      </c>
      <c r="K34" s="5">
        <f>(K33-K32)/K32</f>
        <v>-3.768132876138417E-3</v>
      </c>
      <c r="M34" s="5">
        <f>(M33-M32)/M32</f>
        <v>-5.6120761250137742E-2</v>
      </c>
      <c r="P34" s="5">
        <f>(P33-P32)/P32</f>
        <v>3.4854970240944062E-2</v>
      </c>
      <c r="S34" s="5">
        <f>(S33-S32)/S32</f>
        <v>-0.12430464304408168</v>
      </c>
    </row>
    <row r="35" spans="1:19" x14ac:dyDescent="0.2">
      <c r="A35" s="14" t="s">
        <v>57</v>
      </c>
      <c r="C35" s="6" t="str">
        <f>IF(C33&gt;=C30,IF(C33&lt;=C31,"YES","NO"),"NO")</f>
        <v>YES</v>
      </c>
      <c r="G35" s="6" t="str">
        <f>IF(G33&gt;=G30,IF(G33&lt;=G31,"YES","NO"),"NO")</f>
        <v>YES</v>
      </c>
      <c r="I35" s="6" t="str">
        <f>IF(I33&gt;=I30,IF(I33&lt;=I31,"YES","NO"),"NO")</f>
        <v>YES</v>
      </c>
      <c r="K35" s="6" t="str">
        <f>IF(K33&gt;=K30,IF(K33&lt;=K31,"YES","NO"),"NO")</f>
        <v>YES</v>
      </c>
      <c r="M35" s="6" t="str">
        <f>IF(M33&gt;=M30,IF(M33&lt;=M31,"YES","NO"),"NO")</f>
        <v>YES</v>
      </c>
      <c r="P35" s="6" t="str">
        <f>IF(P33&gt;=P30,IF(P33&lt;=P31,"YES","NO"),"NO")</f>
        <v>YES</v>
      </c>
      <c r="S35" s="6" t="str">
        <f>IF(S33&gt;=S30,IF(S33&lt;=S31,"YES","NO"),"NO")</f>
        <v>YES</v>
      </c>
    </row>
    <row r="38" spans="1:19" x14ac:dyDescent="0.2">
      <c r="A38" s="1" t="s">
        <v>7</v>
      </c>
    </row>
    <row r="39" spans="1:19" x14ac:dyDescent="0.2">
      <c r="A39" t="s">
        <v>55</v>
      </c>
      <c r="C39" s="4">
        <v>2.85</v>
      </c>
      <c r="G39">
        <v>2.8580000000000001</v>
      </c>
      <c r="I39">
        <v>3.3079999999999998</v>
      </c>
      <c r="K39">
        <v>3.355</v>
      </c>
      <c r="M39" s="4">
        <v>3.98</v>
      </c>
      <c r="P39" s="4">
        <v>2.41</v>
      </c>
      <c r="S39" s="4">
        <v>0</v>
      </c>
    </row>
    <row r="40" spans="1:19" x14ac:dyDescent="0.2">
      <c r="A40" t="s">
        <v>56</v>
      </c>
      <c r="C40" s="4">
        <v>3.7970000000000002</v>
      </c>
      <c r="G40">
        <v>3.8010000000000002</v>
      </c>
      <c r="I40">
        <v>4.0609999999999999</v>
      </c>
      <c r="K40">
        <v>4.0640000000000001</v>
      </c>
      <c r="M40">
        <v>6.4279999999999999</v>
      </c>
      <c r="P40">
        <v>2.863</v>
      </c>
      <c r="S40">
        <v>0</v>
      </c>
    </row>
    <row r="41" spans="1:19" x14ac:dyDescent="0.2">
      <c r="A41" t="s">
        <v>42</v>
      </c>
      <c r="C41" s="21">
        <v>3.5059999999999998</v>
      </c>
      <c r="G41" s="20">
        <v>3.5139999999999998</v>
      </c>
      <c r="I41" s="20">
        <v>3.8039999999999998</v>
      </c>
      <c r="K41" s="20">
        <v>3.7949999999999999</v>
      </c>
      <c r="M41" s="20">
        <v>5.4939999999999998</v>
      </c>
      <c r="P41" s="20">
        <v>2.7010000000000001</v>
      </c>
      <c r="S41" s="25">
        <v>0</v>
      </c>
    </row>
    <row r="42" spans="1:19" x14ac:dyDescent="0.2">
      <c r="A42" t="s">
        <v>4</v>
      </c>
      <c r="C42" s="4">
        <f>MAX([8]case900!$B$2:$B$8761)/3600/1000</f>
        <v>3.1721787355460278</v>
      </c>
      <c r="G42" s="4">
        <f>MAX([9]case910!$B$2:$B$8761)/3600/1000</f>
        <v>3.1717931132370554</v>
      </c>
      <c r="I42" s="4">
        <f>MAX([10]case920!$B$2:$B$8761)/3600/1000</f>
        <v>3.4830364954725002</v>
      </c>
      <c r="K42" s="4">
        <f>MAX([11]case930!$B$2:$B$8761)/3600/1000</f>
        <v>3.5064664383246944</v>
      </c>
      <c r="M42" s="4">
        <f>MAX([12]case940!$B$2:$B$8761)/3600/1000</f>
        <v>4.8154909324634732</v>
      </c>
      <c r="P42" s="4">
        <f>MAX([13]case960!$B$2:$B$8761)/3600/1000</f>
        <v>2.6925783125225693</v>
      </c>
      <c r="S42" s="4">
        <f>MAX([14]case950!$B$2:$B$8761)/3600/1000</f>
        <v>0</v>
      </c>
    </row>
    <row r="43" spans="1:19" x14ac:dyDescent="0.2">
      <c r="A43" t="s">
        <v>9</v>
      </c>
      <c r="C43" s="5">
        <f>(C42-C41)/C41</f>
        <v>-9.5214279650305766E-2</v>
      </c>
      <c r="G43" s="5">
        <f>(G42-G41)/G41</f>
        <v>-9.738386077488459E-2</v>
      </c>
      <c r="I43" s="5">
        <f>(I42-I41)/I41</f>
        <v>-8.437526407137215E-2</v>
      </c>
      <c r="K43" s="5">
        <f>(K42-K41)/K41</f>
        <v>-7.6029924025113452E-2</v>
      </c>
      <c r="M43" s="5">
        <f>(M42-M41)/M41</f>
        <v>-0.12350001229277878</v>
      </c>
      <c r="P43" s="5">
        <f>(P42-P41)/P41</f>
        <v>-3.1179886995300896E-3</v>
      </c>
      <c r="S43" s="26" t="e">
        <f>(S42-S41)/S41</f>
        <v>#DIV/0!</v>
      </c>
    </row>
    <row r="44" spans="1:19" x14ac:dyDescent="0.2">
      <c r="A44" s="14" t="s">
        <v>57</v>
      </c>
      <c r="C44" s="6" t="str">
        <f>IF(C42&gt;=C39,IF(C42&lt;=C40,"YES","NO"),"NO")</f>
        <v>YES</v>
      </c>
      <c r="G44" s="6" t="str">
        <f>IF(G42&gt;=G39,IF(G42&lt;=G40,"YES","NO"),"NO")</f>
        <v>YES</v>
      </c>
      <c r="I44" s="6" t="str">
        <f>IF(I42&gt;=I39,IF(I42&lt;=I40,"YES","NO"),"NO")</f>
        <v>YES</v>
      </c>
      <c r="K44" s="6" t="str">
        <f>IF(K42&gt;=K39,IF(K42&lt;=K40,"YES","NO"),"NO")</f>
        <v>YES</v>
      </c>
      <c r="M44" s="6" t="str">
        <f>IF(M42&gt;=M39,IF(M42&lt;=M40,"YES","NO"),"NO")</f>
        <v>YES</v>
      </c>
      <c r="P44" s="6" t="str">
        <f>IF(P42&gt;=P39,IF(P42&lt;=P40,"YES","NO"),"NO")</f>
        <v>YES</v>
      </c>
      <c r="S44" s="6" t="str">
        <f>IF(S42&gt;=S39,IF(S42&lt;=S40,"YES","NO"),"NO")</f>
        <v>YES</v>
      </c>
    </row>
    <row r="47" spans="1:19" x14ac:dyDescent="0.2">
      <c r="A47" s="1" t="s">
        <v>8</v>
      </c>
    </row>
    <row r="48" spans="1:19" x14ac:dyDescent="0.2">
      <c r="A48" t="s">
        <v>55</v>
      </c>
      <c r="C48" s="4">
        <v>2.8879999999999999</v>
      </c>
      <c r="G48">
        <v>1.8959999999999999</v>
      </c>
      <c r="I48">
        <v>2.3849999999999998</v>
      </c>
      <c r="K48">
        <v>1.873</v>
      </c>
      <c r="M48">
        <v>2.8879999999999999</v>
      </c>
      <c r="P48">
        <v>0.95299999999999996</v>
      </c>
      <c r="S48">
        <v>2.0329999999999999</v>
      </c>
    </row>
    <row r="49" spans="1:19" x14ac:dyDescent="0.2">
      <c r="A49" t="s">
        <v>56</v>
      </c>
      <c r="C49" s="21">
        <v>3.871</v>
      </c>
      <c r="G49" s="20">
        <v>3.2770000000000001</v>
      </c>
      <c r="I49">
        <v>3.5049999999999999</v>
      </c>
      <c r="K49" s="21">
        <v>3.08</v>
      </c>
      <c r="M49" s="20">
        <v>3.871</v>
      </c>
      <c r="P49" s="25">
        <v>1.403</v>
      </c>
      <c r="S49" s="21">
        <v>3.17</v>
      </c>
    </row>
    <row r="50" spans="1:19" x14ac:dyDescent="0.2">
      <c r="A50" t="s">
        <v>42</v>
      </c>
      <c r="C50" s="21">
        <v>3.39</v>
      </c>
      <c r="G50" s="20">
        <v>2.6760000000000002</v>
      </c>
      <c r="I50" s="22">
        <v>3.077</v>
      </c>
      <c r="K50" s="20">
        <v>2.4790000000000001</v>
      </c>
      <c r="M50" s="21">
        <v>3.39</v>
      </c>
      <c r="P50" s="21">
        <v>1.212</v>
      </c>
      <c r="S50" s="21">
        <v>2.6739999999999999</v>
      </c>
    </row>
    <row r="51" spans="1:19" x14ac:dyDescent="0.2">
      <c r="A51" t="s">
        <v>4</v>
      </c>
      <c r="C51" s="4">
        <f>MAX([8]case900!$C$2:$C$8761)/3600/1000</f>
        <v>3.24974888907825</v>
      </c>
      <c r="G51" s="4">
        <f>MAX([9]case910!$C$2:$C$8761)/3600/1000</f>
        <v>2.5733667529525528</v>
      </c>
      <c r="I51" s="4">
        <f>MAX([10]case920!$C$2:$C$8761)/3600/1000</f>
        <v>2.7771599077848474</v>
      </c>
      <c r="K51" s="4">
        <f>MAX([11]case930!$C$2:$C$8761)/3600/1000</f>
        <v>2.2745694044109528</v>
      </c>
      <c r="M51" s="4">
        <f>MAX([12]case940!$C$2:$C$8761)/3600/1000</f>
        <v>3.2497388494910551</v>
      </c>
      <c r="P51" s="4">
        <f>MAX([13]case960!$C$2:$C$8761)/3600/1000</f>
        <v>1.1434519413892137</v>
      </c>
      <c r="S51" s="4">
        <f>MAX([14]case950!$C$2:$C$8761)/3600/1000</f>
        <v>2.3877944956559474</v>
      </c>
    </row>
    <row r="52" spans="1:19" x14ac:dyDescent="0.2">
      <c r="A52" t="s">
        <v>9</v>
      </c>
      <c r="C52" s="5">
        <f>(C51-C50)/C50</f>
        <v>-4.1372009121460211E-2</v>
      </c>
      <c r="G52" s="5">
        <f>(G51-G50)/G50</f>
        <v>-3.8353231333126812E-2</v>
      </c>
      <c r="I52" s="5">
        <f>(I51-I50)/I50</f>
        <v>-9.7445593830078808E-2</v>
      </c>
      <c r="K52" s="5">
        <f>(K51-K50)/K50</f>
        <v>-8.2464943763230047E-2</v>
      </c>
      <c r="M52" s="5">
        <f>(M51-M50)/M50</f>
        <v>-4.137497065160621E-2</v>
      </c>
      <c r="P52" s="5">
        <f>(P51-P50)/P50</f>
        <v>-5.6557804134312113E-2</v>
      </c>
      <c r="S52" s="5">
        <f>(S51-S50)/S50</f>
        <v>-0.1070327241376412</v>
      </c>
    </row>
    <row r="53" spans="1:19" x14ac:dyDescent="0.2">
      <c r="A53" s="14" t="s">
        <v>57</v>
      </c>
      <c r="C53" s="6" t="str">
        <f>IF(C51&gt;=C48,IF(C51&lt;=C49,"YES","NO"),"NO")</f>
        <v>YES</v>
      </c>
      <c r="G53" s="6" t="str">
        <f>IF(G51&gt;=G48,IF(G51&lt;=G49,"YES","NO"),"NO")</f>
        <v>YES</v>
      </c>
      <c r="I53" s="6" t="str">
        <f>IF(I51&gt;=I48,IF(I51&lt;=I49,"YES","NO"),"NO")</f>
        <v>YES</v>
      </c>
      <c r="K53" s="6" t="str">
        <f>IF(K51&gt;=K48,IF(K51&lt;=K49,"YES","NO"),"NO")</f>
        <v>YES</v>
      </c>
      <c r="M53" s="6" t="str">
        <f>IF(M51&gt;=M48,IF(M51&lt;=M49,"YES","NO"),"NO")</f>
        <v>YES</v>
      </c>
      <c r="P53" s="6" t="str">
        <f>IF(P51&gt;=P48,IF(P51&lt;=P49,"YES","NO"),"NO")</f>
        <v>YES</v>
      </c>
      <c r="S53" s="6" t="str">
        <f>IF(S51&gt;=S48,IF(S51&lt;=S49,"YES","NO"),"NO")</f>
        <v>YES</v>
      </c>
    </row>
  </sheetData>
  <phoneticPr fontId="0" type="noConversion"/>
  <pageMargins left="0.5" right="0.25" top="0.25" bottom="0.25" header="0.5" footer="0.25"/>
  <pageSetup scale="60" orientation="landscape" verticalDpi="300" r:id="rId1"/>
  <headerFooter alignWithMargins="0">
    <oddFooter>&amp;L&amp;F&amp;R&amp;D 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4"/>
  <sheetViews>
    <sheetView workbookViewId="0">
      <selection activeCell="A2" sqref="A2"/>
    </sheetView>
  </sheetViews>
  <sheetFormatPr defaultRowHeight="12.75" x14ac:dyDescent="0.2"/>
  <cols>
    <col min="2" max="2" width="14.42578125" customWidth="1"/>
    <col min="5" max="5" width="10" customWidth="1"/>
  </cols>
  <sheetData>
    <row r="1" spans="1:38" ht="18" x14ac:dyDescent="0.25">
      <c r="A1" s="2" t="s">
        <v>107</v>
      </c>
    </row>
    <row r="2" spans="1:38" ht="15" x14ac:dyDescent="0.25">
      <c r="A2" s="12" t="s">
        <v>108</v>
      </c>
      <c r="K2" s="4"/>
      <c r="P2" s="4"/>
    </row>
    <row r="3" spans="1:38" ht="15" x14ac:dyDescent="0.25">
      <c r="A3" s="12"/>
      <c r="AC3" s="4"/>
      <c r="AG3" s="4"/>
      <c r="AL3" s="4"/>
    </row>
    <row r="4" spans="1:38" ht="15" x14ac:dyDescent="0.25">
      <c r="A4" s="12"/>
      <c r="AC4" s="4"/>
      <c r="AG4" s="4"/>
      <c r="AL4" s="4"/>
    </row>
    <row r="5" spans="1:38" ht="15" x14ac:dyDescent="0.25">
      <c r="A5" s="12"/>
      <c r="AC5" s="4"/>
      <c r="AG5" s="4"/>
      <c r="AL5" s="4"/>
    </row>
    <row r="6" spans="1:38" ht="15" x14ac:dyDescent="0.25">
      <c r="A6" s="12"/>
      <c r="AC6" s="4"/>
      <c r="AG6" s="4"/>
      <c r="AL6" s="4"/>
    </row>
    <row r="7" spans="1:38" ht="15" x14ac:dyDescent="0.25">
      <c r="A7" s="12"/>
      <c r="AC7" s="4"/>
      <c r="AG7" s="4"/>
      <c r="AL7" s="4"/>
    </row>
    <row r="8" spans="1:38" ht="15" x14ac:dyDescent="0.25">
      <c r="A8" s="12"/>
      <c r="AC8" s="4"/>
      <c r="AG8" s="4"/>
      <c r="AL8" s="4"/>
    </row>
    <row r="9" spans="1:38" ht="15" x14ac:dyDescent="0.25">
      <c r="A9" s="12" t="s">
        <v>48</v>
      </c>
      <c r="E9" s="20" t="s">
        <v>87</v>
      </c>
    </row>
    <row r="11" spans="1:38" x14ac:dyDescent="0.2">
      <c r="A11" s="1" t="s">
        <v>10</v>
      </c>
      <c r="C11" s="11" t="s">
        <v>49</v>
      </c>
      <c r="D11" s="3"/>
      <c r="F11" s="11" t="s">
        <v>50</v>
      </c>
      <c r="I11" s="11" t="s">
        <v>99</v>
      </c>
      <c r="L11" s="11" t="s">
        <v>98</v>
      </c>
      <c r="O11" s="11">
        <v>960</v>
      </c>
    </row>
    <row r="12" spans="1:38" x14ac:dyDescent="0.2">
      <c r="C12" s="4"/>
      <c r="F12" s="4"/>
      <c r="I12" s="4"/>
      <c r="L12" s="4"/>
      <c r="O12" s="4"/>
    </row>
    <row r="13" spans="1:38" x14ac:dyDescent="0.2">
      <c r="A13" s="1" t="s">
        <v>0</v>
      </c>
      <c r="C13" s="8" t="s">
        <v>12</v>
      </c>
      <c r="F13" s="8" t="s">
        <v>12</v>
      </c>
      <c r="I13" s="8" t="s">
        <v>12</v>
      </c>
      <c r="L13" s="8" t="s">
        <v>12</v>
      </c>
      <c r="O13" s="1" t="s">
        <v>89</v>
      </c>
    </row>
    <row r="14" spans="1:38" x14ac:dyDescent="0.2">
      <c r="C14" s="1" t="s">
        <v>47</v>
      </c>
      <c r="F14" s="1" t="s">
        <v>46</v>
      </c>
      <c r="I14" s="1" t="s">
        <v>46</v>
      </c>
      <c r="L14" s="1" t="s">
        <v>46</v>
      </c>
      <c r="O14" t="s">
        <v>90</v>
      </c>
    </row>
    <row r="15" spans="1:38" x14ac:dyDescent="0.2">
      <c r="C15" s="4" t="s">
        <v>13</v>
      </c>
      <c r="F15" s="4" t="s">
        <v>13</v>
      </c>
      <c r="I15" s="4" t="s">
        <v>13</v>
      </c>
      <c r="L15" s="4" t="s">
        <v>13</v>
      </c>
      <c r="O15" t="s">
        <v>91</v>
      </c>
    </row>
    <row r="16" spans="1:38" x14ac:dyDescent="0.2">
      <c r="C16" s="4" t="s">
        <v>15</v>
      </c>
      <c r="F16" s="4" t="s">
        <v>15</v>
      </c>
      <c r="I16" s="4" t="s">
        <v>15</v>
      </c>
      <c r="L16" s="4" t="s">
        <v>15</v>
      </c>
      <c r="O16" t="s">
        <v>92</v>
      </c>
    </row>
    <row r="17" spans="1:15" x14ac:dyDescent="0.2">
      <c r="C17" s="4" t="s">
        <v>16</v>
      </c>
      <c r="F17" s="4" t="s">
        <v>16</v>
      </c>
      <c r="I17" s="4" t="s">
        <v>16</v>
      </c>
      <c r="L17" s="4" t="s">
        <v>16</v>
      </c>
      <c r="O17" t="s">
        <v>93</v>
      </c>
    </row>
    <row r="18" spans="1:15" x14ac:dyDescent="0.2">
      <c r="C18" s="4" t="s">
        <v>51</v>
      </c>
      <c r="F18" s="4" t="s">
        <v>51</v>
      </c>
      <c r="I18" t="s">
        <v>100</v>
      </c>
      <c r="L18" t="s">
        <v>100</v>
      </c>
      <c r="O18" t="s">
        <v>101</v>
      </c>
    </row>
    <row r="19" spans="1:15" x14ac:dyDescent="0.2">
      <c r="C19" s="8" t="s">
        <v>18</v>
      </c>
      <c r="I19" s="4" t="s">
        <v>51</v>
      </c>
      <c r="L19" s="4" t="s">
        <v>51</v>
      </c>
      <c r="O19" s="4" t="s">
        <v>102</v>
      </c>
    </row>
    <row r="20" spans="1:15" x14ac:dyDescent="0.2">
      <c r="A20" s="1" t="s">
        <v>52</v>
      </c>
      <c r="C20" s="4"/>
    </row>
    <row r="21" spans="1:15" x14ac:dyDescent="0.2">
      <c r="A21" t="s">
        <v>55</v>
      </c>
      <c r="C21" s="13">
        <v>64.900000000000006</v>
      </c>
      <c r="F21">
        <v>41.8</v>
      </c>
      <c r="I21">
        <v>63.2</v>
      </c>
      <c r="L21">
        <v>35.5</v>
      </c>
      <c r="O21">
        <v>48.9</v>
      </c>
    </row>
    <row r="22" spans="1:15" x14ac:dyDescent="0.2">
      <c r="A22" t="s">
        <v>56</v>
      </c>
      <c r="C22" s="13">
        <v>69.5</v>
      </c>
      <c r="F22">
        <v>44.8</v>
      </c>
      <c r="I22">
        <v>68.2</v>
      </c>
      <c r="L22">
        <v>38.5</v>
      </c>
      <c r="O22">
        <v>55.3</v>
      </c>
    </row>
    <row r="23" spans="1:15" x14ac:dyDescent="0.2">
      <c r="A23" t="s">
        <v>42</v>
      </c>
      <c r="C23" s="23">
        <v>66.2</v>
      </c>
      <c r="F23">
        <v>43.1</v>
      </c>
      <c r="I23" s="20">
        <v>64.7</v>
      </c>
      <c r="L23" s="20">
        <v>36.5</v>
      </c>
      <c r="O23" s="20">
        <v>50.3</v>
      </c>
    </row>
    <row r="24" spans="1:15" x14ac:dyDescent="0.2">
      <c r="A24" t="s">
        <v>4</v>
      </c>
      <c r="C24" s="13">
        <f>MAX([15]case600FF!$D$2:$D$8761)</f>
        <v>65.287339659600093</v>
      </c>
      <c r="F24" s="13">
        <f>MAX([16]case900FF!$D$2:$D$8761)</f>
        <v>43.1596424783327</v>
      </c>
      <c r="I24" s="13">
        <f>MAX([17]case650FF!$D$2:$D$8761)</f>
        <v>63.502228656646899</v>
      </c>
      <c r="L24" s="13">
        <f>MAX([18]case950FF!$D$2:$D$8761)</f>
        <v>36.643706710501199</v>
      </c>
      <c r="O24" s="13">
        <f>MAX([13]case960!$G$2:$G$8761)</f>
        <v>52.381512446701997</v>
      </c>
    </row>
    <row r="25" spans="1:15" x14ac:dyDescent="0.2">
      <c r="A25" t="s">
        <v>9</v>
      </c>
      <c r="C25" s="5">
        <f>(C24-C23)/C23</f>
        <v>-1.3786409975829453E-2</v>
      </c>
      <c r="F25" s="5">
        <f>(F24-F23)/F23</f>
        <v>1.3838162026148049E-3</v>
      </c>
      <c r="I25" s="5">
        <f>(I24-I23)/I23</f>
        <v>-1.8512694642242714E-2</v>
      </c>
      <c r="L25" s="5">
        <f>(L24-L23)/L23</f>
        <v>3.9371701507177831E-3</v>
      </c>
      <c r="O25" s="5">
        <f>(O24-O23)/O23</f>
        <v>4.138195719089463E-2</v>
      </c>
    </row>
    <row r="26" spans="1:15" x14ac:dyDescent="0.2">
      <c r="A26" s="14" t="s">
        <v>57</v>
      </c>
      <c r="C26" s="6" t="str">
        <f>IF(C24&gt;=C21,IF(C24&lt;=C22,"YES","NO"),"NO")</f>
        <v>YES</v>
      </c>
      <c r="F26" s="6" t="str">
        <f>IF(F24&gt;=F21,IF(F24&lt;=F22,"YES","NO"),"NO")</f>
        <v>YES</v>
      </c>
      <c r="I26" s="6" t="str">
        <f>IF(I24&gt;=I21,IF(I24&lt;=I22,"YES","NO"),"NO")</f>
        <v>YES</v>
      </c>
      <c r="L26" s="6" t="str">
        <f>IF(L24&gt;=L21,IF(L24&lt;=L22,"YES","NO"),"NO")</f>
        <v>YES</v>
      </c>
      <c r="O26" s="6" t="str">
        <f>IF(O24&gt;=O21,IF(O24&lt;=O22,"YES","NO"),"NO")</f>
        <v>YES</v>
      </c>
    </row>
    <row r="27" spans="1:15" x14ac:dyDescent="0.2">
      <c r="C27" s="4"/>
    </row>
    <row r="28" spans="1:15" x14ac:dyDescent="0.2">
      <c r="C28" s="4"/>
    </row>
    <row r="29" spans="1:15" x14ac:dyDescent="0.2">
      <c r="A29" s="1" t="s">
        <v>53</v>
      </c>
      <c r="C29" s="4"/>
    </row>
    <row r="30" spans="1:15" x14ac:dyDescent="0.2">
      <c r="A30" t="s">
        <v>55</v>
      </c>
      <c r="C30" s="13">
        <v>-18.8</v>
      </c>
      <c r="F30">
        <v>-6.4</v>
      </c>
      <c r="I30" s="13">
        <v>-23</v>
      </c>
      <c r="L30">
        <v>-20.2</v>
      </c>
      <c r="O30">
        <v>-2.8</v>
      </c>
    </row>
    <row r="31" spans="1:15" x14ac:dyDescent="0.2">
      <c r="A31" t="s">
        <v>56</v>
      </c>
      <c r="C31" s="23">
        <v>-15.6</v>
      </c>
      <c r="F31">
        <v>-1.6</v>
      </c>
      <c r="I31">
        <v>-21.6</v>
      </c>
      <c r="L31">
        <v>-18.600000000000001</v>
      </c>
      <c r="O31">
        <v>3.9</v>
      </c>
    </row>
    <row r="32" spans="1:15" x14ac:dyDescent="0.2">
      <c r="A32" t="s">
        <v>42</v>
      </c>
      <c r="C32" s="23">
        <v>-17.600000000000001</v>
      </c>
      <c r="F32">
        <v>-4.2</v>
      </c>
      <c r="I32" s="20">
        <v>-22.7</v>
      </c>
      <c r="L32" s="20">
        <v>-19.600000000000001</v>
      </c>
      <c r="O32" s="20">
        <v>1.4</v>
      </c>
    </row>
    <row r="33" spans="1:15" x14ac:dyDescent="0.2">
      <c r="A33" t="s">
        <v>4</v>
      </c>
      <c r="C33" s="13">
        <f>MIN([15]case600FF!$D$2:$D$8761)</f>
        <v>-17.418010002545799</v>
      </c>
      <c r="F33" s="13">
        <f>MIN([16]case900FF!$D$2:$D$8761)</f>
        <v>-2.6030415139750298</v>
      </c>
      <c r="I33" s="13">
        <f>MIN([17]case650FF!$D$2:$D$8761)</f>
        <v>-23.0438235411366</v>
      </c>
      <c r="L33" s="13">
        <f>MIN([18]case950FF!$D$2:$D$8761)</f>
        <v>-20.339623145764001</v>
      </c>
      <c r="O33" s="13">
        <f>MIN([13]case960!$G$2:$G$8761)</f>
        <v>2.22049045109986</v>
      </c>
    </row>
    <row r="34" spans="1:15" x14ac:dyDescent="0.2">
      <c r="A34" t="s">
        <v>9</v>
      </c>
      <c r="C34" s="5">
        <f>(C33-C32)/C32</f>
        <v>-1.0340340764443325E-2</v>
      </c>
      <c r="F34" s="5">
        <f>(F33-F32)/F32</f>
        <v>-0.38022821095832626</v>
      </c>
      <c r="I34" s="5">
        <f>(I33-I32)/I32</f>
        <v>1.5146411503815016E-2</v>
      </c>
      <c r="L34" s="5">
        <f>(L33-L32)/L32</f>
        <v>3.7735874783877542E-2</v>
      </c>
      <c r="O34" s="5">
        <f>(O33-O32)/O32</f>
        <v>0.58606460792847148</v>
      </c>
    </row>
    <row r="35" spans="1:15" x14ac:dyDescent="0.2">
      <c r="A35" s="14" t="s">
        <v>57</v>
      </c>
      <c r="C35" s="6" t="str">
        <f>IF(C33&gt;=C30,IF(C33&lt;=C31,"YES","NO"),"NO")</f>
        <v>YES</v>
      </c>
      <c r="F35" s="6" t="str">
        <f>IF(F33&gt;=F30,IF(F33&lt;=F31,"YES","NO"),"NO")</f>
        <v>YES</v>
      </c>
      <c r="I35" s="6" t="str">
        <f>IF(I33&gt;=I30,IF(I33&lt;=I31,"YES","NO"),"NO")</f>
        <v>NO</v>
      </c>
      <c r="L35" s="6" t="str">
        <f>IF(L33&gt;=L30,IF(L33&lt;=L31,"YES","NO"),"NO")</f>
        <v>NO</v>
      </c>
      <c r="O35" s="6" t="str">
        <f>IF(O33&gt;=O30,IF(O33&lt;=O31,"YES","NO"),"NO")</f>
        <v>YES</v>
      </c>
    </row>
    <row r="36" spans="1:15" x14ac:dyDescent="0.2">
      <c r="C36" s="4"/>
    </row>
    <row r="37" spans="1:15" x14ac:dyDescent="0.2">
      <c r="C37" s="4"/>
    </row>
    <row r="38" spans="1:15" x14ac:dyDescent="0.2">
      <c r="A38" s="1" t="s">
        <v>54</v>
      </c>
      <c r="C38" s="4"/>
    </row>
    <row r="39" spans="1:15" x14ac:dyDescent="0.2">
      <c r="A39" t="s">
        <v>55</v>
      </c>
      <c r="C39" s="13">
        <v>24.2</v>
      </c>
      <c r="F39">
        <v>24.5</v>
      </c>
      <c r="I39" s="13">
        <v>18</v>
      </c>
      <c r="L39" s="13">
        <v>14</v>
      </c>
      <c r="O39">
        <v>26.4</v>
      </c>
    </row>
    <row r="40" spans="1:15" x14ac:dyDescent="0.2">
      <c r="A40" t="s">
        <v>56</v>
      </c>
      <c r="C40" s="13">
        <v>25.9</v>
      </c>
      <c r="F40">
        <v>25.9</v>
      </c>
      <c r="I40">
        <v>19.600000000000001</v>
      </c>
      <c r="L40" s="13">
        <v>15</v>
      </c>
      <c r="O40" s="13">
        <v>29</v>
      </c>
    </row>
    <row r="41" spans="1:15" x14ac:dyDescent="0.2">
      <c r="A41" t="s">
        <v>42</v>
      </c>
      <c r="C41" s="13">
        <v>25.1</v>
      </c>
      <c r="F41">
        <v>25.2</v>
      </c>
      <c r="I41">
        <v>18.7</v>
      </c>
      <c r="L41">
        <v>14.4</v>
      </c>
      <c r="O41" s="13">
        <v>28</v>
      </c>
    </row>
    <row r="42" spans="1:15" x14ac:dyDescent="0.2">
      <c r="A42" t="s">
        <v>4</v>
      </c>
      <c r="C42" s="13">
        <f>AVERAGE([15]case600FF!$D$2:$D$8761)</f>
        <v>25.799970322822766</v>
      </c>
      <c r="F42" s="13">
        <f>AVERAGE([16]case900FF!$D$2:$D$8761)</f>
        <v>25.998814023165096</v>
      </c>
      <c r="I42" s="13">
        <f>AVERAGE([17]case650FF!$D$2:$D$8761)</f>
        <v>18.639919867943181</v>
      </c>
      <c r="L42" s="13">
        <f>AVERAGE([18]case950FF!$D$2:$D$8761)</f>
        <v>14.496187912775195</v>
      </c>
      <c r="O42" s="13">
        <f>AVERAGE([13]case960!$G$2:$G$8761)</f>
        <v>29.128571248829676</v>
      </c>
    </row>
    <row r="43" spans="1:15" x14ac:dyDescent="0.2">
      <c r="A43" t="s">
        <v>9</v>
      </c>
      <c r="C43" s="5">
        <f>(C42-C41)/C41</f>
        <v>2.7887263857480655E-2</v>
      </c>
      <c r="F43" s="5">
        <f>(F42-F41)/F41</f>
        <v>3.1698969173218121E-2</v>
      </c>
      <c r="I43" s="5">
        <f>(I42-I41)/I41</f>
        <v>-3.2128412864608591E-3</v>
      </c>
      <c r="L43" s="5">
        <f>(L42-L41)/L41</f>
        <v>6.6797161649440667E-3</v>
      </c>
      <c r="O43" s="5">
        <f>(O42-O41)/O41</f>
        <v>4.0306116029631286E-2</v>
      </c>
    </row>
    <row r="44" spans="1:15" x14ac:dyDescent="0.2">
      <c r="A44" s="14" t="s">
        <v>57</v>
      </c>
      <c r="C44" s="6" t="str">
        <f>IF(C42&gt;=C39,IF(C42&lt;=C40,"YES","NO"),"NO")</f>
        <v>YES</v>
      </c>
      <c r="F44" s="6" t="str">
        <f>IF(F42&gt;=F39,IF(F42&lt;=F40,"YES","NO"),"NO")</f>
        <v>NO</v>
      </c>
      <c r="G44" s="6" t="s">
        <v>18</v>
      </c>
      <c r="I44" s="6" t="str">
        <f>IF(I42&gt;=I39,IF(I42&lt;=I40,"YES","NO"),"NO")</f>
        <v>YES</v>
      </c>
      <c r="L44" s="6" t="str">
        <f>IF(L42&gt;=L39,IF(L42&lt;=L40,"YES","NO"),"NO")</f>
        <v>YES</v>
      </c>
      <c r="O44" s="6" t="str">
        <f>IF(O42&gt;=O39,IF(O42&lt;=O40,"YES","NO"),"NO")</f>
        <v>NO</v>
      </c>
    </row>
    <row r="45" spans="1:15" x14ac:dyDescent="0.2">
      <c r="A45" t="s">
        <v>18</v>
      </c>
      <c r="C45" s="7" t="s">
        <v>18</v>
      </c>
    </row>
    <row r="46" spans="1:15" x14ac:dyDescent="0.2">
      <c r="C46" s="4"/>
    </row>
    <row r="47" spans="1:15" x14ac:dyDescent="0.2">
      <c r="C47" s="4"/>
    </row>
    <row r="48" spans="1:15" x14ac:dyDescent="0.2">
      <c r="A48" s="1" t="s">
        <v>18</v>
      </c>
      <c r="C48" s="4"/>
    </row>
    <row r="49" spans="1:3" x14ac:dyDescent="0.2">
      <c r="A49" t="s">
        <v>18</v>
      </c>
      <c r="C49" s="4" t="s">
        <v>18</v>
      </c>
    </row>
    <row r="50" spans="1:3" x14ac:dyDescent="0.2">
      <c r="A50" t="s">
        <v>18</v>
      </c>
      <c r="C50" s="4" t="s">
        <v>18</v>
      </c>
    </row>
    <row r="51" spans="1:3" x14ac:dyDescent="0.2">
      <c r="A51" t="s">
        <v>18</v>
      </c>
      <c r="C51" s="5" t="s">
        <v>18</v>
      </c>
    </row>
    <row r="52" spans="1:3" x14ac:dyDescent="0.2">
      <c r="A52" t="s">
        <v>18</v>
      </c>
      <c r="C52" s="6" t="s">
        <v>18</v>
      </c>
    </row>
    <row r="53" spans="1:3" x14ac:dyDescent="0.2">
      <c r="A53" t="s">
        <v>18</v>
      </c>
      <c r="C53" s="4" t="s">
        <v>18</v>
      </c>
    </row>
    <row r="54" spans="1:3" x14ac:dyDescent="0.2">
      <c r="C54" t="s">
        <v>18</v>
      </c>
    </row>
  </sheetData>
  <phoneticPr fontId="0" type="noConversion"/>
  <pageMargins left="0.75" right="0.75" top="0.5" bottom="0.5" header="0.5" footer="0.5"/>
  <pageSetup scale="76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workbookViewId="0">
      <selection activeCell="C16" sqref="C16"/>
    </sheetView>
  </sheetViews>
  <sheetFormatPr defaultRowHeight="12.75" x14ac:dyDescent="0.2"/>
  <cols>
    <col min="1" max="1" width="12.140625" customWidth="1"/>
    <col min="2" max="2" width="21.140625" customWidth="1"/>
    <col min="3" max="3" width="17.140625" style="4" customWidth="1"/>
    <col min="4" max="4" width="6.140625" customWidth="1"/>
    <col min="5" max="5" width="17.42578125" style="4" customWidth="1"/>
    <col min="7" max="7" width="9.7109375" customWidth="1"/>
    <col min="10" max="10" width="14.85546875" style="4" customWidth="1"/>
    <col min="11" max="11" width="3" customWidth="1"/>
    <col min="12" max="12" width="17.140625" style="4" customWidth="1"/>
    <col min="13" max="13" width="3.140625" style="4" customWidth="1"/>
    <col min="14" max="14" width="16.7109375" customWidth="1"/>
  </cols>
  <sheetData>
    <row r="1" spans="1:14" ht="18" x14ac:dyDescent="0.25">
      <c r="A1" s="2" t="s">
        <v>58</v>
      </c>
    </row>
    <row r="4" spans="1:14" x14ac:dyDescent="0.2">
      <c r="C4" s="17" t="s">
        <v>86</v>
      </c>
      <c r="E4" s="17"/>
      <c r="G4" s="1"/>
    </row>
    <row r="5" spans="1:14" x14ac:dyDescent="0.2">
      <c r="B5" s="4" t="s">
        <v>83</v>
      </c>
      <c r="C5" s="15" t="s">
        <v>18</v>
      </c>
      <c r="E5" s="15"/>
      <c r="J5" s="15"/>
      <c r="L5" s="15"/>
      <c r="M5" s="15"/>
      <c r="N5" s="15"/>
    </row>
    <row r="6" spans="1:14" x14ac:dyDescent="0.2">
      <c r="B6" s="4" t="s">
        <v>85</v>
      </c>
      <c r="C6" s="15" t="s">
        <v>18</v>
      </c>
      <c r="E6" s="15"/>
      <c r="J6" s="15"/>
      <c r="L6" s="15"/>
      <c r="M6" s="15"/>
      <c r="N6" s="15"/>
    </row>
    <row r="7" spans="1:14" x14ac:dyDescent="0.2">
      <c r="B7" s="4" t="s">
        <v>84</v>
      </c>
      <c r="C7" s="18" t="s">
        <v>18</v>
      </c>
      <c r="E7" s="18"/>
      <c r="J7" s="18"/>
      <c r="L7" s="18"/>
      <c r="M7" s="18"/>
      <c r="N7" s="1"/>
    </row>
    <row r="8" spans="1:14" x14ac:dyDescent="0.2">
      <c r="C8" s="15" t="s">
        <v>18</v>
      </c>
      <c r="E8" s="15"/>
      <c r="J8" s="15"/>
      <c r="L8" s="15"/>
      <c r="M8" s="15"/>
    </row>
    <row r="9" spans="1:14" x14ac:dyDescent="0.2">
      <c r="B9" s="4"/>
      <c r="C9" s="15" t="s">
        <v>18</v>
      </c>
      <c r="E9" s="15"/>
      <c r="J9" s="15"/>
      <c r="L9" s="15"/>
      <c r="M9" s="15"/>
    </row>
    <row r="10" spans="1:14" x14ac:dyDescent="0.2">
      <c r="B10" s="4"/>
      <c r="C10" s="15" t="s">
        <v>18</v>
      </c>
      <c r="E10" s="15"/>
      <c r="J10" s="15"/>
      <c r="L10" s="15"/>
      <c r="M10" s="15"/>
    </row>
    <row r="11" spans="1:14" x14ac:dyDescent="0.2">
      <c r="C11" s="4" t="s">
        <v>18</v>
      </c>
      <c r="E11" s="19"/>
    </row>
    <row r="13" spans="1:14" x14ac:dyDescent="0.2">
      <c r="A13" t="s">
        <v>59</v>
      </c>
      <c r="B13" t="s">
        <v>62</v>
      </c>
      <c r="C13" s="4">
        <f>'Cases 195'!C24</f>
        <v>4.3573905330260017</v>
      </c>
      <c r="G13" s="16"/>
      <c r="H13" s="16"/>
      <c r="N13" s="4"/>
    </row>
    <row r="14" spans="1:14" x14ac:dyDescent="0.2">
      <c r="B14" t="s">
        <v>63</v>
      </c>
      <c r="C14" s="4">
        <f>'Cases 195'!C33</f>
        <v>0.41215669764007873</v>
      </c>
      <c r="G14" s="16"/>
      <c r="H14" s="16"/>
      <c r="N14" s="4"/>
    </row>
    <row r="15" spans="1:14" x14ac:dyDescent="0.2">
      <c r="B15" t="s">
        <v>64</v>
      </c>
      <c r="C15" s="4">
        <f>'Cases 195'!C42</f>
        <v>2.0902045656822996</v>
      </c>
      <c r="G15" s="16"/>
      <c r="H15" s="16"/>
      <c r="N15" s="4"/>
    </row>
    <row r="16" spans="1:14" x14ac:dyDescent="0.2">
      <c r="B16" t="s">
        <v>60</v>
      </c>
      <c r="C16" s="7" t="str">
        <f>INDEX([1]case195!$A$2:$A$8761,MATCH(MAX([1]case195!$B$2:$B$8761),[1]case195!$B$2:$B$8761,0))</f>
        <v xml:space="preserve"> 01/04  06:00:00</v>
      </c>
      <c r="G16" s="16"/>
      <c r="H16" s="16"/>
      <c r="L16" s="7"/>
      <c r="M16" s="7"/>
    </row>
    <row r="17" spans="1:14" x14ac:dyDescent="0.2">
      <c r="B17" t="s">
        <v>65</v>
      </c>
      <c r="C17" s="4">
        <f>'Cases 195'!C51</f>
        <v>0.72934807361156662</v>
      </c>
      <c r="G17" s="16"/>
      <c r="H17" s="16"/>
      <c r="N17" s="4"/>
    </row>
    <row r="18" spans="1:14" x14ac:dyDescent="0.2">
      <c r="B18" t="s">
        <v>61</v>
      </c>
      <c r="C18" s="4" t="str">
        <f>INDEX([1]case195!$A$2:$A$8761,MATCH(MAX([1]case195!$C$2:$C$8761),[1]case195!$C$2:$C$8761,0))</f>
        <v xml:space="preserve"> 07/26  16:00:00</v>
      </c>
      <c r="G18" s="16"/>
      <c r="H18" s="16"/>
    </row>
    <row r="19" spans="1:14" x14ac:dyDescent="0.2">
      <c r="G19" s="16"/>
      <c r="H19" s="16"/>
    </row>
    <row r="20" spans="1:14" x14ac:dyDescent="0.2">
      <c r="A20" t="s">
        <v>66</v>
      </c>
      <c r="B20" t="s">
        <v>62</v>
      </c>
      <c r="C20" s="4">
        <f>'Cases 600'!C$24</f>
        <v>4.3784173907655699</v>
      </c>
      <c r="G20" s="16"/>
      <c r="H20" s="16"/>
      <c r="N20" s="4"/>
    </row>
    <row r="21" spans="1:14" x14ac:dyDescent="0.2">
      <c r="B21" t="s">
        <v>63</v>
      </c>
      <c r="C21" s="4">
        <f>'Cases 600'!C$33</f>
        <v>6.7403897054987212</v>
      </c>
      <c r="G21" s="16"/>
      <c r="H21" s="16"/>
      <c r="N21" s="4"/>
    </row>
    <row r="22" spans="1:14" x14ac:dyDescent="0.2">
      <c r="B22" t="s">
        <v>64</v>
      </c>
      <c r="C22" s="4">
        <f>'Cases 600'!C$42</f>
        <v>3.7500803840701664</v>
      </c>
      <c r="G22" s="16"/>
      <c r="H22" s="16"/>
      <c r="N22" s="4"/>
    </row>
    <row r="23" spans="1:14" x14ac:dyDescent="0.2">
      <c r="B23" t="s">
        <v>60</v>
      </c>
      <c r="C23" s="7" t="str">
        <f>INDEX([2]case600!$A$2:$A$8761,MATCH(MAX([2]case600!$B$2:$B$8761),[2]case600!$B$2:$B$8761,0))</f>
        <v xml:space="preserve"> 01/04  05:00:00</v>
      </c>
      <c r="G23" s="16"/>
      <c r="H23" s="16"/>
      <c r="L23" s="7"/>
      <c r="M23" s="7"/>
    </row>
    <row r="24" spans="1:14" x14ac:dyDescent="0.2">
      <c r="B24" t="s">
        <v>65</v>
      </c>
      <c r="C24" s="4">
        <f>'Cases 600'!C$51</f>
        <v>6.5654637193002214</v>
      </c>
      <c r="G24" s="16"/>
      <c r="H24" s="16"/>
      <c r="N24" s="4"/>
    </row>
    <row r="25" spans="1:14" x14ac:dyDescent="0.2">
      <c r="B25" t="s">
        <v>61</v>
      </c>
      <c r="C25" s="4" t="str">
        <f>INDEX([2]case600!$A$2:$A$8761,MATCH(MAX([2]case600!$C$2:$C$8761),[2]case600!$C$2:$C$8761,0))</f>
        <v xml:space="preserve"> 10/17  13:00:00</v>
      </c>
      <c r="G25" s="16"/>
      <c r="H25" s="16"/>
    </row>
    <row r="26" spans="1:14" x14ac:dyDescent="0.2">
      <c r="G26" s="16"/>
      <c r="H26" s="16"/>
    </row>
    <row r="27" spans="1:14" x14ac:dyDescent="0.2">
      <c r="A27" t="s">
        <v>67</v>
      </c>
      <c r="B27" t="s">
        <v>62</v>
      </c>
      <c r="C27" s="4">
        <f>'Cases 600'!G$24</f>
        <v>4.4215314043653073</v>
      </c>
      <c r="G27" s="16"/>
      <c r="H27" s="16"/>
      <c r="N27" s="4"/>
    </row>
    <row r="28" spans="1:14" x14ac:dyDescent="0.2">
      <c r="B28" t="s">
        <v>63</v>
      </c>
      <c r="C28" s="4">
        <f>'Cases 600'!G$33</f>
        <v>4.7464268644566854</v>
      </c>
      <c r="G28" s="16"/>
      <c r="H28" s="16"/>
      <c r="N28" s="4"/>
    </row>
    <row r="29" spans="1:14" x14ac:dyDescent="0.2">
      <c r="B29" t="s">
        <v>64</v>
      </c>
      <c r="C29" s="4">
        <f>'Cases 600'!G$42</f>
        <v>3.7396061907233333</v>
      </c>
      <c r="G29" s="16"/>
      <c r="H29" s="16"/>
      <c r="N29" s="4"/>
    </row>
    <row r="30" spans="1:14" x14ac:dyDescent="0.2">
      <c r="B30" t="s">
        <v>60</v>
      </c>
      <c r="C30" s="7" t="str">
        <f>INDEX([3]case610!$A$2:$A$8761,MATCH(MAX([3]case610!$B$2:$B$8761),[3]case610!$B$2:$B$8761,0))</f>
        <v xml:space="preserve"> 01/04  05:00:00</v>
      </c>
      <c r="G30" s="16"/>
      <c r="H30" s="16"/>
      <c r="L30" s="7"/>
      <c r="M30" s="7"/>
    </row>
    <row r="31" spans="1:14" x14ac:dyDescent="0.2">
      <c r="B31" t="s">
        <v>65</v>
      </c>
      <c r="C31" s="4">
        <f>'Cases 600'!G$51</f>
        <v>6.1644833817656108</v>
      </c>
      <c r="G31" s="16"/>
      <c r="H31" s="16"/>
      <c r="N31" s="4"/>
    </row>
    <row r="32" spans="1:14" x14ac:dyDescent="0.2">
      <c r="B32" t="s">
        <v>61</v>
      </c>
      <c r="C32" s="4" t="str">
        <f>INDEX([3]case610!$A$2:$A$8761,MATCH(MAX([3]case610!$C$2:$C$8761),[3]case610!$C$2:$C$8761,0))</f>
        <v xml:space="preserve"> 12/23  13:00:00</v>
      </c>
      <c r="G32" s="16"/>
      <c r="H32" s="16"/>
    </row>
    <row r="33" spans="1:14" x14ac:dyDescent="0.2">
      <c r="G33" s="16"/>
      <c r="H33" s="16"/>
    </row>
    <row r="34" spans="1:14" x14ac:dyDescent="0.2">
      <c r="A34" t="s">
        <v>68</v>
      </c>
      <c r="B34" t="s">
        <v>62</v>
      </c>
      <c r="C34" s="4">
        <f>'Cases 600'!I$24</f>
        <v>4.5502169423450081</v>
      </c>
      <c r="G34" s="16"/>
      <c r="H34" s="16"/>
      <c r="N34" s="4"/>
    </row>
    <row r="35" spans="1:14" x14ac:dyDescent="0.2">
      <c r="B35" t="s">
        <v>63</v>
      </c>
      <c r="C35" s="4">
        <f>'Cases 600'!I$33</f>
        <v>4.1676074995693204</v>
      </c>
      <c r="G35" s="16"/>
      <c r="H35" s="16"/>
      <c r="N35" s="4"/>
    </row>
    <row r="36" spans="1:14" x14ac:dyDescent="0.2">
      <c r="B36" t="s">
        <v>64</v>
      </c>
      <c r="C36" s="4">
        <f>'Cases 600'!I$42</f>
        <v>3.7409462317529445</v>
      </c>
      <c r="G36" s="16"/>
      <c r="H36" s="16"/>
      <c r="N36" s="4"/>
    </row>
    <row r="37" spans="1:14" x14ac:dyDescent="0.2">
      <c r="B37" t="s">
        <v>60</v>
      </c>
      <c r="C37" s="7" t="str">
        <f>INDEX([4]case620!$A$2:$A$8761,MATCH(MAX([4]case620!$B$2:$B$8761),[4]case620!$B$2:$B$8761,0))</f>
        <v xml:space="preserve"> 01/04  05:00:00</v>
      </c>
      <c r="G37" s="16"/>
      <c r="H37" s="16"/>
      <c r="L37" s="7"/>
      <c r="M37" s="7"/>
    </row>
    <row r="38" spans="1:14" x14ac:dyDescent="0.2">
      <c r="B38" t="s">
        <v>65</v>
      </c>
      <c r="C38" s="4">
        <f>'Cases 600'!I$51</f>
        <v>3.920638148063333</v>
      </c>
      <c r="G38" s="16"/>
      <c r="H38" s="16"/>
      <c r="N38" s="4"/>
    </row>
    <row r="39" spans="1:14" x14ac:dyDescent="0.2">
      <c r="B39" t="s">
        <v>61</v>
      </c>
      <c r="C39" s="4" t="str">
        <f>INDEX([4]case620!$A$2:$A$8761,MATCH(MAX([4]case620!$C$2:$C$8761),[4]case620!$C$2:$C$8761,0))</f>
        <v xml:space="preserve"> 07/26  10:00:00</v>
      </c>
    </row>
    <row r="41" spans="1:14" x14ac:dyDescent="0.2">
      <c r="A41" t="s">
        <v>69</v>
      </c>
      <c r="B41" t="s">
        <v>62</v>
      </c>
      <c r="C41" s="4">
        <f>'Cases 600'!K$24</f>
        <v>4.8813992178224126</v>
      </c>
      <c r="G41" s="16"/>
      <c r="H41" s="16"/>
      <c r="N41" s="4"/>
    </row>
    <row r="42" spans="1:14" x14ac:dyDescent="0.2">
      <c r="B42" t="s">
        <v>63</v>
      </c>
      <c r="C42" s="4">
        <f>'Cases 600'!K$33</f>
        <v>2.7803719831226754</v>
      </c>
      <c r="G42" s="16"/>
      <c r="H42" s="16"/>
      <c r="N42" s="4"/>
    </row>
    <row r="43" spans="1:14" x14ac:dyDescent="0.2">
      <c r="B43" t="s">
        <v>64</v>
      </c>
      <c r="C43" s="4">
        <f>'Cases 600'!K$42</f>
        <v>3.7206024113968055</v>
      </c>
      <c r="G43" s="16"/>
      <c r="H43" s="16"/>
      <c r="N43" s="4"/>
    </row>
    <row r="44" spans="1:14" x14ac:dyDescent="0.2">
      <c r="B44" t="s">
        <v>60</v>
      </c>
      <c r="C44" s="7" t="str">
        <f>INDEX([5]case630!$A$2:$A$8761,MATCH(MAX([5]case630!$B$2:$B$8761),[5]case630!$B$2:$B$8761,0))</f>
        <v xml:space="preserve"> 01/04  05:00:00</v>
      </c>
      <c r="G44" s="16"/>
      <c r="H44" s="16"/>
      <c r="L44" s="7"/>
      <c r="M44" s="7"/>
    </row>
    <row r="45" spans="1:14" x14ac:dyDescent="0.2">
      <c r="B45" t="s">
        <v>65</v>
      </c>
      <c r="C45" s="4">
        <f>'Cases 600'!K$51</f>
        <v>3.3760970726459441</v>
      </c>
      <c r="G45" s="16"/>
      <c r="H45" s="16"/>
      <c r="N45" s="4"/>
    </row>
    <row r="46" spans="1:14" x14ac:dyDescent="0.2">
      <c r="B46" t="s">
        <v>61</v>
      </c>
      <c r="C46" s="4" t="str">
        <f>INDEX([5]case630!$A$2:$A$8761,MATCH(MAX([5]case630!$C$2:$C$8761),[5]case630!$C$2:$C$8761,0))</f>
        <v xml:space="preserve"> 07/26  17:00:00</v>
      </c>
    </row>
    <row r="48" spans="1:14" x14ac:dyDescent="0.2">
      <c r="A48" t="s">
        <v>70</v>
      </c>
      <c r="B48" t="s">
        <v>62</v>
      </c>
      <c r="C48" s="4">
        <f>'Cases 600'!M$24</f>
        <v>2.6842558832752892</v>
      </c>
      <c r="G48" s="16"/>
      <c r="H48" s="16"/>
      <c r="N48" s="4"/>
    </row>
    <row r="49" spans="1:14" x14ac:dyDescent="0.2">
      <c r="B49" t="s">
        <v>63</v>
      </c>
      <c r="C49" s="4">
        <f>'Cases 600'!M$33</f>
        <v>6.4538056917777471</v>
      </c>
      <c r="G49" s="16"/>
      <c r="H49" s="16"/>
      <c r="N49" s="4"/>
    </row>
    <row r="50" spans="1:14" x14ac:dyDescent="0.2">
      <c r="B50" t="s">
        <v>64</v>
      </c>
      <c r="C50" s="4">
        <f>'Cases 600'!M$42</f>
        <v>6.2767966572989717</v>
      </c>
      <c r="G50" s="16"/>
      <c r="H50" s="16"/>
      <c r="N50" s="4"/>
    </row>
    <row r="51" spans="1:14" x14ac:dyDescent="0.2">
      <c r="B51" t="s">
        <v>60</v>
      </c>
      <c r="C51" s="7" t="str">
        <f>INDEX([6]case640!$A$2:$A$8761,MATCH(MAX([6]case640!$B$2:$B$8761),[6]case640!$B$2:$B$8761,0))</f>
        <v xml:space="preserve"> 01/04  08:00:00</v>
      </c>
      <c r="G51" s="16"/>
      <c r="H51" s="16"/>
      <c r="L51" s="7"/>
      <c r="M51" s="7"/>
      <c r="N51" s="4"/>
    </row>
    <row r="52" spans="1:14" x14ac:dyDescent="0.2">
      <c r="B52" t="s">
        <v>65</v>
      </c>
      <c r="C52" s="4">
        <f>'Cases 600'!M$51</f>
        <v>6.5011509625394446</v>
      </c>
      <c r="G52" s="16"/>
      <c r="H52" s="16"/>
      <c r="N52" s="4"/>
    </row>
    <row r="53" spans="1:14" x14ac:dyDescent="0.2">
      <c r="B53" t="s">
        <v>61</v>
      </c>
      <c r="C53" s="4" t="str">
        <f>INDEX([6]case640!$A$2:$A$8761,MATCH(MAX([6]case640!$C$2:$C$8761),[6]case640!$C$2:$C$8761,0))</f>
        <v xml:space="preserve"> 10/17  13:00:00</v>
      </c>
      <c r="N53" s="4"/>
    </row>
    <row r="55" spans="1:14" x14ac:dyDescent="0.2">
      <c r="A55" t="s">
        <v>71</v>
      </c>
      <c r="B55" t="s">
        <v>62</v>
      </c>
      <c r="C55" s="4">
        <f>'Cases 900'!C$24</f>
        <v>1.2237064855787012</v>
      </c>
      <c r="G55" s="16"/>
      <c r="H55" s="16"/>
      <c r="N55" s="4"/>
    </row>
    <row r="56" spans="1:14" x14ac:dyDescent="0.2">
      <c r="B56" t="s">
        <v>63</v>
      </c>
      <c r="C56" s="4">
        <f>'Cases 900'!C$33</f>
        <v>2.5076520639344002</v>
      </c>
      <c r="G56" s="16"/>
      <c r="H56" s="16"/>
      <c r="N56" s="4"/>
    </row>
    <row r="57" spans="1:14" x14ac:dyDescent="0.2">
      <c r="B57" t="s">
        <v>64</v>
      </c>
      <c r="C57" s="4">
        <f>'Cases 900'!C$42</f>
        <v>3.1721787355460278</v>
      </c>
      <c r="G57" s="16"/>
      <c r="H57" s="16"/>
      <c r="N57" s="4"/>
    </row>
    <row r="58" spans="1:14" x14ac:dyDescent="0.2">
      <c r="B58" t="s">
        <v>60</v>
      </c>
      <c r="C58" s="7" t="str">
        <f>INDEX([8]case900!$A$2:$A$8761,MATCH(MAX([8]case900!$B$2:$B$8761),[8]case900!$B$2:$B$8761,0))</f>
        <v xml:space="preserve"> 01/04  07:00:00</v>
      </c>
      <c r="G58" s="16"/>
      <c r="H58" s="16"/>
      <c r="L58" s="7"/>
      <c r="M58" s="7"/>
      <c r="N58" s="4"/>
    </row>
    <row r="59" spans="1:14" x14ac:dyDescent="0.2">
      <c r="B59" t="s">
        <v>65</v>
      </c>
      <c r="C59" s="4">
        <f>'Cases 900'!C$51</f>
        <v>3.24974888907825</v>
      </c>
      <c r="G59" s="16"/>
      <c r="H59" s="16"/>
      <c r="N59" s="4"/>
    </row>
    <row r="60" spans="1:14" x14ac:dyDescent="0.2">
      <c r="B60" t="s">
        <v>61</v>
      </c>
      <c r="C60" s="4" t="str">
        <f>INDEX([8]case900!$A$2:$A$8761,MATCH(MAX([8]case900!$C$2:$C$8761),[8]case900!$C$2:$C$8761,0))</f>
        <v xml:space="preserve"> 10/17  15:00:00</v>
      </c>
      <c r="N60" s="4"/>
    </row>
    <row r="61" spans="1:14" x14ac:dyDescent="0.2">
      <c r="N61" s="4"/>
    </row>
    <row r="62" spans="1:14" x14ac:dyDescent="0.2">
      <c r="A62" t="s">
        <v>72</v>
      </c>
      <c r="B62" t="s">
        <v>62</v>
      </c>
      <c r="C62" s="4">
        <f>'Cases 900'!G$24</f>
        <v>1.5058206356438613</v>
      </c>
      <c r="G62" s="16"/>
      <c r="H62" s="16"/>
      <c r="N62" s="4"/>
    </row>
    <row r="63" spans="1:14" x14ac:dyDescent="0.2">
      <c r="B63" t="s">
        <v>63</v>
      </c>
      <c r="C63" s="4">
        <f>'Cases 900'!G$33</f>
        <v>1.2347752524879096</v>
      </c>
      <c r="G63" s="16"/>
      <c r="H63" s="16"/>
      <c r="N63" s="4"/>
    </row>
    <row r="64" spans="1:14" x14ac:dyDescent="0.2">
      <c r="B64" t="s">
        <v>64</v>
      </c>
      <c r="C64" s="4">
        <f>'Cases 900'!G$42</f>
        <v>3.1717931132370554</v>
      </c>
      <c r="G64" s="16"/>
      <c r="H64" s="16"/>
      <c r="N64" s="4"/>
    </row>
    <row r="65" spans="1:14" x14ac:dyDescent="0.2">
      <c r="B65" t="s">
        <v>60</v>
      </c>
      <c r="C65" s="7" t="str">
        <f>INDEX([9]case910!$A$2:$A$8761,MATCH(MAX([9]case910!$B$2:$B$8761),[9]case910!$B$2:$B$8761,0))</f>
        <v xml:space="preserve"> 01/04  07:00:00</v>
      </c>
      <c r="G65" s="16"/>
      <c r="H65" s="16"/>
      <c r="L65" s="7"/>
      <c r="M65" s="7"/>
      <c r="N65" s="4"/>
    </row>
    <row r="66" spans="1:14" x14ac:dyDescent="0.2">
      <c r="B66" t="s">
        <v>65</v>
      </c>
      <c r="C66" s="4">
        <f>'Cases 900'!G$51</f>
        <v>2.5733667529525528</v>
      </c>
      <c r="G66" s="16"/>
      <c r="H66" s="16"/>
      <c r="N66" s="4"/>
    </row>
    <row r="67" spans="1:14" x14ac:dyDescent="0.2">
      <c r="B67" t="s">
        <v>61</v>
      </c>
      <c r="C67" s="4" t="str">
        <f>INDEX([9]case910!$A$2:$A$8761,MATCH(MAX([9]case910!$C$2:$C$8761),[9]case910!$C$2:$C$8761,0))</f>
        <v xml:space="preserve"> 10/17  15:00:00</v>
      </c>
      <c r="N67" s="4"/>
    </row>
    <row r="69" spans="1:14" x14ac:dyDescent="0.2">
      <c r="A69" t="s">
        <v>73</v>
      </c>
      <c r="B69" t="s">
        <v>62</v>
      </c>
      <c r="C69" s="4">
        <f>'Cases 900'!I$24</f>
        <v>3.1930816554431765</v>
      </c>
      <c r="G69" s="16"/>
      <c r="H69" s="16"/>
      <c r="N69" s="4"/>
    </row>
    <row r="70" spans="1:14" x14ac:dyDescent="0.2">
      <c r="B70" t="s">
        <v>63</v>
      </c>
      <c r="C70" s="4">
        <f>'Cases 900'!I$33</f>
        <v>2.5484582767623656</v>
      </c>
      <c r="G70" s="16"/>
      <c r="H70" s="16"/>
      <c r="N70" s="4"/>
    </row>
    <row r="71" spans="1:14" x14ac:dyDescent="0.2">
      <c r="B71" t="s">
        <v>64</v>
      </c>
      <c r="C71" s="4">
        <f>'Cases 900'!I$42</f>
        <v>3.4830364954725002</v>
      </c>
      <c r="G71" s="16"/>
      <c r="H71" s="16"/>
      <c r="N71" s="4"/>
    </row>
    <row r="72" spans="1:14" x14ac:dyDescent="0.2">
      <c r="B72" t="s">
        <v>60</v>
      </c>
      <c r="C72" s="7" t="str">
        <f>INDEX([10]case920!$A$2:$A$8761,MATCH(MAX([10]case920!$B$2:$B$8761),[10]case920!$B$2:$B$8761,0))</f>
        <v xml:space="preserve"> 01/04  07:00:00</v>
      </c>
      <c r="G72" s="16"/>
      <c r="H72" s="16"/>
      <c r="L72" s="7"/>
      <c r="M72" s="7"/>
      <c r="N72" s="4"/>
    </row>
    <row r="73" spans="1:14" x14ac:dyDescent="0.2">
      <c r="B73" t="s">
        <v>65</v>
      </c>
      <c r="C73" s="4">
        <f>'Cases 900'!I$51</f>
        <v>2.7771599077848474</v>
      </c>
      <c r="G73" s="16"/>
      <c r="H73" s="16"/>
      <c r="N73" s="4"/>
    </row>
    <row r="74" spans="1:14" x14ac:dyDescent="0.2">
      <c r="B74" t="s">
        <v>61</v>
      </c>
      <c r="C74" s="4" t="str">
        <f>INDEX([10]case920!$A$2:$A$8761,MATCH(MAX([10]case920!$C$2:$C$8761),[10]case920!$C$2:$C$8761,0))</f>
        <v xml:space="preserve"> 07/26  17:00:00</v>
      </c>
      <c r="N74" s="4"/>
    </row>
    <row r="75" spans="1:14" x14ac:dyDescent="0.2">
      <c r="N75" s="4"/>
    </row>
    <row r="76" spans="1:14" x14ac:dyDescent="0.2">
      <c r="A76" t="s">
        <v>74</v>
      </c>
      <c r="B76" t="s">
        <v>62</v>
      </c>
      <c r="C76" s="4">
        <f>'Cases 900'!K$24</f>
        <v>3.9061957698822609</v>
      </c>
      <c r="G76" s="16"/>
      <c r="H76" s="16"/>
      <c r="N76" s="4"/>
    </row>
    <row r="77" spans="1:14" x14ac:dyDescent="0.2">
      <c r="B77" t="s">
        <v>63</v>
      </c>
      <c r="C77" s="4">
        <f>'Cases 900'!K$33</f>
        <v>1.6378051895516283</v>
      </c>
      <c r="G77" s="16"/>
      <c r="H77" s="16"/>
      <c r="N77" s="4"/>
    </row>
    <row r="78" spans="1:14" x14ac:dyDescent="0.2">
      <c r="B78" t="s">
        <v>64</v>
      </c>
      <c r="C78" s="4">
        <f>'Cases 900'!K$42</f>
        <v>3.5064664383246944</v>
      </c>
      <c r="G78" s="16"/>
      <c r="H78" s="16"/>
      <c r="N78" s="4"/>
    </row>
    <row r="79" spans="1:14" x14ac:dyDescent="0.2">
      <c r="B79" t="s">
        <v>60</v>
      </c>
      <c r="C79" s="7" t="str">
        <f>INDEX([11]case930!$A$2:$A$8761,MATCH(MAX([11]case930!$B$2:$B$8761),[11]case930!$B$2:$B$8761,0))</f>
        <v xml:space="preserve"> 01/04  07:00:00</v>
      </c>
      <c r="G79" s="16"/>
      <c r="H79" s="16"/>
      <c r="L79" s="7"/>
      <c r="M79" s="7"/>
      <c r="N79" s="4"/>
    </row>
    <row r="80" spans="1:14" x14ac:dyDescent="0.2">
      <c r="B80" t="s">
        <v>65</v>
      </c>
      <c r="C80" s="4">
        <f>'Cases 900'!K$51</f>
        <v>2.2745694044109528</v>
      </c>
      <c r="G80" s="16"/>
      <c r="H80" s="16"/>
      <c r="N80" s="4"/>
    </row>
    <row r="81" spans="1:14" x14ac:dyDescent="0.2">
      <c r="B81" t="s">
        <v>61</v>
      </c>
      <c r="C81" s="4" t="str">
        <f>INDEX([11]case930!$A$2:$A$8761,MATCH(MAX([11]case930!$C$2:$C$8761),[11]case930!$C$2:$C$8761,0))</f>
        <v xml:space="preserve"> 07/26  17:00:00</v>
      </c>
      <c r="N81" s="4"/>
    </row>
    <row r="82" spans="1:14" x14ac:dyDescent="0.2">
      <c r="N82" s="4"/>
    </row>
    <row r="83" spans="1:14" x14ac:dyDescent="0.2">
      <c r="A83" t="s">
        <v>75</v>
      </c>
      <c r="B83" t="s">
        <v>62</v>
      </c>
      <c r="C83" s="4">
        <f>'Cases 900'!M$24</f>
        <v>0.76810017668157116</v>
      </c>
      <c r="G83" s="16"/>
      <c r="H83" s="16"/>
      <c r="N83" s="4"/>
    </row>
    <row r="84" spans="1:14" x14ac:dyDescent="0.2">
      <c r="B84" t="s">
        <v>63</v>
      </c>
      <c r="C84" s="4">
        <f>'Cases 900'!M$33</f>
        <v>2.4333206774971448</v>
      </c>
      <c r="G84" s="16"/>
      <c r="H84" s="16"/>
      <c r="N84" s="4"/>
    </row>
    <row r="85" spans="1:14" x14ac:dyDescent="0.2">
      <c r="B85" t="s">
        <v>64</v>
      </c>
      <c r="C85" s="4">
        <f>'Cases 900'!M$42</f>
        <v>4.8154909324634732</v>
      </c>
      <c r="G85" s="16"/>
      <c r="H85" s="16"/>
      <c r="N85" s="4"/>
    </row>
    <row r="86" spans="1:14" x14ac:dyDescent="0.2">
      <c r="B86" t="s">
        <v>60</v>
      </c>
      <c r="C86" s="7" t="str">
        <f>INDEX([12]case940!$A$2:$A$8761,MATCH(MAX([12]case940!$B$2:$B$8761),[12]case940!$B$2:$B$8761,0))</f>
        <v xml:space="preserve"> 01/04  08:00:00</v>
      </c>
      <c r="G86" s="16"/>
      <c r="H86" s="16"/>
      <c r="L86" s="7"/>
      <c r="M86" s="7"/>
      <c r="N86" s="4"/>
    </row>
    <row r="87" spans="1:14" x14ac:dyDescent="0.2">
      <c r="B87" t="s">
        <v>65</v>
      </c>
      <c r="C87" s="4">
        <f>'Cases 900'!M$51</f>
        <v>3.2497388494910551</v>
      </c>
      <c r="G87" s="16"/>
      <c r="H87" s="16"/>
      <c r="N87" s="4"/>
    </row>
    <row r="88" spans="1:14" x14ac:dyDescent="0.2">
      <c r="B88" t="s">
        <v>61</v>
      </c>
      <c r="C88" s="4" t="str">
        <f>INDEX([12]case940!$A$2:$A$8761,MATCH(MAX([12]case940!$C$2:$C$8761),[12]case940!$C$2:$C$8761,0))</f>
        <v xml:space="preserve"> 10/17  15:00:00</v>
      </c>
      <c r="N88" s="4"/>
    </row>
    <row r="90" spans="1:14" x14ac:dyDescent="0.2">
      <c r="A90" t="s">
        <v>76</v>
      </c>
      <c r="B90" t="s">
        <v>62</v>
      </c>
      <c r="C90" s="4">
        <f>'Cases 900'!P$24</f>
        <v>2.408270808653183</v>
      </c>
    </row>
    <row r="91" spans="1:14" x14ac:dyDescent="0.2">
      <c r="B91" t="s">
        <v>63</v>
      </c>
      <c r="C91" s="4">
        <f>'Cases 900'!P$33</f>
        <v>0.63954037160890342</v>
      </c>
    </row>
    <row r="92" spans="1:14" x14ac:dyDescent="0.2">
      <c r="B92" t="s">
        <v>64</v>
      </c>
      <c r="C92" s="4">
        <f>'Cases 900'!P$42</f>
        <v>2.6925783125225693</v>
      </c>
    </row>
    <row r="93" spans="1:14" x14ac:dyDescent="0.2">
      <c r="B93" t="s">
        <v>60</v>
      </c>
      <c r="C93" s="7" t="str">
        <f>INDEX([13]case960!$A$2:$A$8761,MATCH(MAX([13]case960!$B$2:$B$8761),[13]case960!$B$2:$B$8761,0))</f>
        <v xml:space="preserve"> 01/04  08:00:00</v>
      </c>
    </row>
    <row r="94" spans="1:14" x14ac:dyDescent="0.2">
      <c r="B94" t="s">
        <v>65</v>
      </c>
      <c r="C94" s="4">
        <f>'Cases 900'!P$51</f>
        <v>1.1434519413892137</v>
      </c>
    </row>
    <row r="95" spans="1:14" x14ac:dyDescent="0.2">
      <c r="B95" t="s">
        <v>61</v>
      </c>
      <c r="C95" s="4" t="str">
        <f>INDEX([13]case960!$A$2:$A$8761,MATCH(MAX([13]case960!$C$2:$C$8761),[13]case960!$C$2:$C$8761,0))</f>
        <v xml:space="preserve"> 08/16  15:00:00</v>
      </c>
    </row>
    <row r="97" spans="1:14" x14ac:dyDescent="0.2">
      <c r="A97" t="s">
        <v>77</v>
      </c>
      <c r="B97" t="s">
        <v>79</v>
      </c>
      <c r="C97" s="13">
        <f>'Free Float Cases'!C24</f>
        <v>65.287339659600093</v>
      </c>
      <c r="G97" s="16"/>
      <c r="H97" s="16"/>
      <c r="L97" s="13"/>
      <c r="M97" s="13"/>
      <c r="N97" s="4"/>
    </row>
    <row r="98" spans="1:14" x14ac:dyDescent="0.2">
      <c r="B98" t="s">
        <v>81</v>
      </c>
      <c r="C98" s="7" t="str">
        <f>INDEX([15]case600FF!$A$2:$A$8761,MATCH(MAX([15]case600FF!$D$2:$D$8761),[15]case600FF!$D$2:$D$8761,0))</f>
        <v xml:space="preserve"> 10/17  16:00:00</v>
      </c>
      <c r="G98" s="16"/>
      <c r="H98" s="16"/>
      <c r="L98" s="7"/>
      <c r="M98" s="7"/>
      <c r="N98" s="4"/>
    </row>
    <row r="99" spans="1:14" x14ac:dyDescent="0.2">
      <c r="B99" t="s">
        <v>80</v>
      </c>
      <c r="C99" s="13">
        <f>'Free Float Cases'!C33</f>
        <v>-17.418010002545799</v>
      </c>
      <c r="G99" s="16"/>
      <c r="H99" s="16"/>
      <c r="L99" s="13"/>
      <c r="M99" s="13"/>
      <c r="N99" s="4"/>
    </row>
    <row r="100" spans="1:14" x14ac:dyDescent="0.2">
      <c r="B100" t="s">
        <v>82</v>
      </c>
      <c r="C100" s="7" t="str">
        <f>INDEX([15]case600FF!$A$2:$A$8761,MATCH(MIN([15]case600FF!$D$2:$D$8761),[15]case600FF!$D$2:$D$8761,0))</f>
        <v xml:space="preserve"> 01/04  08:00:00</v>
      </c>
      <c r="G100" s="16"/>
      <c r="H100" s="16"/>
      <c r="L100" s="7"/>
      <c r="M100" s="7"/>
      <c r="N100" s="4"/>
    </row>
    <row r="101" spans="1:14" x14ac:dyDescent="0.2">
      <c r="B101" t="s">
        <v>18</v>
      </c>
      <c r="C101" s="13"/>
      <c r="G101" s="16"/>
      <c r="H101" s="16"/>
      <c r="L101" s="13"/>
      <c r="M101" s="13"/>
      <c r="N101" s="4"/>
    </row>
    <row r="102" spans="1:14" x14ac:dyDescent="0.2">
      <c r="A102" t="s">
        <v>78</v>
      </c>
      <c r="B102" t="s">
        <v>79</v>
      </c>
      <c r="C102" s="13">
        <f>'Free Float Cases'!F24</f>
        <v>43.1596424783327</v>
      </c>
      <c r="G102" s="16"/>
      <c r="H102" s="16"/>
      <c r="L102" s="13"/>
      <c r="M102" s="13"/>
      <c r="N102" s="4"/>
    </row>
    <row r="103" spans="1:14" x14ac:dyDescent="0.2">
      <c r="B103" t="s">
        <v>81</v>
      </c>
      <c r="C103" s="7" t="str">
        <f>INDEX([16]case900FF!$A$2:$A$8761,MATCH(MAX([16]case900FF!$D$2:$D$8761),[16]case900FF!$D$2:$D$8761,0))</f>
        <v xml:space="preserve"> 09/02  15:00:00</v>
      </c>
      <c r="G103" s="16"/>
      <c r="H103" s="16"/>
      <c r="L103" s="7"/>
      <c r="M103" s="7"/>
      <c r="N103" s="4"/>
    </row>
    <row r="104" spans="1:14" x14ac:dyDescent="0.2">
      <c r="B104" t="s">
        <v>80</v>
      </c>
      <c r="C104" s="13">
        <f>'Free Float Cases'!F33</f>
        <v>-2.6030415139750298</v>
      </c>
      <c r="G104" s="16"/>
      <c r="H104" s="16"/>
      <c r="L104" s="13"/>
      <c r="M104" s="13"/>
      <c r="N104" s="4"/>
    </row>
    <row r="105" spans="1:14" x14ac:dyDescent="0.2">
      <c r="B105" t="s">
        <v>82</v>
      </c>
      <c r="C105" s="7" t="str">
        <f>INDEX([16]case900FF!$A$2:$A$8761,MATCH(MIN([16]case900FF!$D$2:$D$8761),[16]case900FF!$D$2:$D$8761,0))</f>
        <v xml:space="preserve"> 01/04  08:00:00</v>
      </c>
      <c r="L105" s="7"/>
      <c r="M105" s="7"/>
      <c r="N105" s="4"/>
    </row>
    <row r="107" spans="1:14" x14ac:dyDescent="0.2">
      <c r="A107" t="s">
        <v>103</v>
      </c>
      <c r="B107" t="s">
        <v>79</v>
      </c>
      <c r="C107" s="13">
        <f>'Free Float Cases'!I24</f>
        <v>63.502228656646899</v>
      </c>
    </row>
    <row r="108" spans="1:14" x14ac:dyDescent="0.2">
      <c r="B108" t="s">
        <v>81</v>
      </c>
      <c r="C108" s="7" t="str">
        <f>INDEX([17]case650FF!$A$2:$A$8761,MATCH(MAX([17]case650FF!$D$2:$D$8761),[17]case650FF!$D$2:$D$8761,0))</f>
        <v xml:space="preserve"> 10/17  16:00:00</v>
      </c>
    </row>
    <row r="109" spans="1:14" x14ac:dyDescent="0.2">
      <c r="B109" t="s">
        <v>80</v>
      </c>
      <c r="C109" s="13">
        <f>'Free Float Cases'!I33</f>
        <v>-23.0438235411366</v>
      </c>
    </row>
    <row r="110" spans="1:14" x14ac:dyDescent="0.2">
      <c r="B110" t="s">
        <v>82</v>
      </c>
      <c r="C110" s="7" t="str">
        <f>INDEX([17]case650FF!$A$2:$A$8761,MATCH(MIN([17]case650FF!$D$2:$D$8761),[17]case650FF!$D$2:$D$8761,0))</f>
        <v xml:space="preserve"> 01/04  07:00:00</v>
      </c>
    </row>
    <row r="111" spans="1:14" x14ac:dyDescent="0.2">
      <c r="B111" t="s">
        <v>18</v>
      </c>
      <c r="C111" s="13"/>
    </row>
    <row r="112" spans="1:14" x14ac:dyDescent="0.2">
      <c r="A112" t="s">
        <v>104</v>
      </c>
      <c r="B112" t="s">
        <v>79</v>
      </c>
      <c r="C112" s="13">
        <f>'Free Float Cases'!L24</f>
        <v>36.643706710501199</v>
      </c>
    </row>
    <row r="113" spans="1:3" x14ac:dyDescent="0.2">
      <c r="B113" t="s">
        <v>81</v>
      </c>
      <c r="C113" s="7" t="str">
        <f>INDEX([18]case950FF!$A$2:$A$8761,MATCH(MAX([18]case950FF!$D$2:$D$8761),[18]case950FF!$D$2:$D$8761,0))</f>
        <v xml:space="preserve"> 09/02  16:00:00</v>
      </c>
    </row>
    <row r="114" spans="1:3" x14ac:dyDescent="0.2">
      <c r="B114" t="s">
        <v>80</v>
      </c>
      <c r="C114" s="13">
        <f>'Free Float Cases'!L33</f>
        <v>-20.339623145764001</v>
      </c>
    </row>
    <row r="115" spans="1:3" x14ac:dyDescent="0.2">
      <c r="B115" t="s">
        <v>82</v>
      </c>
      <c r="C115" s="7" t="str">
        <f>INDEX([18]case950FF!$A$2:$A$8761,MATCH(MIN([18]case950FF!$D$2:$D$8761),[18]case950FF!$D$2:$D$8761,0))</f>
        <v xml:space="preserve"> 01/04  07:00:00</v>
      </c>
    </row>
    <row r="117" spans="1:3" x14ac:dyDescent="0.2">
      <c r="A117" t="s">
        <v>105</v>
      </c>
      <c r="B117" t="s">
        <v>62</v>
      </c>
      <c r="C117" s="4">
        <f>'Cases 600'!O$24</f>
        <v>0</v>
      </c>
    </row>
    <row r="118" spans="1:3" x14ac:dyDescent="0.2">
      <c r="B118" t="s">
        <v>63</v>
      </c>
      <c r="C118" s="4">
        <f>'Cases 600'!O$33</f>
        <v>5.3043887047640403</v>
      </c>
    </row>
    <row r="119" spans="1:3" x14ac:dyDescent="0.2">
      <c r="B119" t="s">
        <v>64</v>
      </c>
      <c r="C119" s="4">
        <f>'Cases 600'!O$42</f>
        <v>0</v>
      </c>
    </row>
    <row r="120" spans="1:3" x14ac:dyDescent="0.2">
      <c r="B120" t="s">
        <v>60</v>
      </c>
      <c r="C120" s="7" t="str">
        <f>INDEX([7]case650!$A$2:$A$8761,MATCH(MAX([7]case650!$B$2:$B$8761),[7]case650!$B$2:$B$8761,0))</f>
        <v xml:space="preserve"> 01/01  01:00:00</v>
      </c>
    </row>
    <row r="121" spans="1:3" x14ac:dyDescent="0.2">
      <c r="B121" t="s">
        <v>65</v>
      </c>
      <c r="C121" s="4">
        <f>'Cases 600'!O$51</f>
        <v>6.3727332740929157</v>
      </c>
    </row>
    <row r="122" spans="1:3" x14ac:dyDescent="0.2">
      <c r="B122" t="s">
        <v>61</v>
      </c>
      <c r="C122" s="4" t="str">
        <f>INDEX([7]case650!$A$2:$A$8761,MATCH(MAX([7]case650!$C$2:$C$8761),[7]case650!$C$2:$C$8761,0))</f>
        <v xml:space="preserve"> 10/17  14:00:00</v>
      </c>
    </row>
    <row r="124" spans="1:3" x14ac:dyDescent="0.2">
      <c r="A124" t="s">
        <v>106</v>
      </c>
      <c r="B124" t="s">
        <v>62</v>
      </c>
      <c r="C124" s="4">
        <f>'Cases 900'!S$24</f>
        <v>0</v>
      </c>
    </row>
    <row r="125" spans="1:3" x14ac:dyDescent="0.2">
      <c r="B125" t="s">
        <v>63</v>
      </c>
      <c r="C125" s="4">
        <f>'Cases 900'!S$33</f>
        <v>0.52979569095833057</v>
      </c>
    </row>
    <row r="126" spans="1:3" x14ac:dyDescent="0.2">
      <c r="B126" t="s">
        <v>64</v>
      </c>
      <c r="C126" s="4">
        <f>'Cases 900'!S$42</f>
        <v>0</v>
      </c>
    </row>
    <row r="127" spans="1:3" x14ac:dyDescent="0.2">
      <c r="B127" t="s">
        <v>60</v>
      </c>
      <c r="C127" s="7" t="str">
        <f>INDEX([14]case950!$A$2:$A$8761,MATCH(MAX([14]case950!$B$2:$B$8761),[14]case950!$B$2:$B$8761,0))</f>
        <v xml:space="preserve"> 01/01  01:00:00</v>
      </c>
    </row>
    <row r="128" spans="1:3" x14ac:dyDescent="0.2">
      <c r="B128" t="s">
        <v>65</v>
      </c>
      <c r="C128" s="4">
        <f>'Cases 900'!S$51</f>
        <v>2.3877944956559474</v>
      </c>
    </row>
    <row r="129" spans="2:3" x14ac:dyDescent="0.2">
      <c r="B129" t="s">
        <v>61</v>
      </c>
      <c r="C129" s="4" t="str">
        <f>INDEX([14]case950!$A$2:$A$8761,MATCH(MAX([14]case950!$C$2:$C$8761),[14]case950!$C$2:$C$8761,0))</f>
        <v xml:space="preserve"> 09/02  15:00:00</v>
      </c>
    </row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Cases 195</vt:lpstr>
      <vt:lpstr>Cases 600</vt:lpstr>
      <vt:lpstr>Cases 900</vt:lpstr>
      <vt:lpstr>Free Float Cases</vt:lpstr>
      <vt:lpstr>Compare Eplus Versions</vt:lpstr>
      <vt:lpstr>'Cases 600'!Print_Area</vt:lpstr>
      <vt:lpstr>'Cases 900'!Print_Area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2001-02-02T17:43:46Z</cp:lastPrinted>
  <dcterms:created xsi:type="dcterms:W3CDTF">1999-10-25T19:41:17Z</dcterms:created>
  <dcterms:modified xsi:type="dcterms:W3CDTF">2015-02-26T17:06:42Z</dcterms:modified>
</cp:coreProperties>
</file>