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Envelope\"/>
    </mc:Choice>
  </mc:AlternateContent>
  <bookViews>
    <workbookView xWindow="-15" yWindow="-15" windowWidth="11970" windowHeight="3285" activeTab="7"/>
  </bookViews>
  <sheets>
    <sheet name="Cases 195" sheetId="1" r:id="rId1"/>
    <sheet name="Cases 600" sheetId="4" r:id="rId2"/>
    <sheet name="Cases 900" sheetId="5" r:id="rId3"/>
    <sheet name="Free Float Cases" sheetId="2" r:id="rId4"/>
    <sheet name="Cases 200" sheetId="8" r:id="rId5"/>
    <sheet name="Cases 300" sheetId="6" r:id="rId6"/>
    <sheet name="Cases 400 &amp; 800" sheetId="7" r:id="rId7"/>
    <sheet name="YD" sheetId="1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Fill" localSheetId="7" hidden="1">YD!$A$65</definedName>
    <definedName name="_xlnm.Print_Area" localSheetId="4">'Cases 200'!$A$1:$V$53</definedName>
    <definedName name="_xlnm.Print_Area" localSheetId="5">'Cases 300'!$A$1:$H$53</definedName>
    <definedName name="_xlnm.Print_Area" localSheetId="6">'Cases 400 &amp; 800'!$A$1:$W$53</definedName>
    <definedName name="_xlnm.Print_Area" localSheetId="1">'Cases 600'!$A$1:$R$56</definedName>
    <definedName name="_xlnm.Print_Area" localSheetId="2">'Cases 900'!$A$1:$U$58</definedName>
    <definedName name="_xlnm.Print_Area" localSheetId="7">YD!$A$1:$H$51</definedName>
    <definedName name="Print_Area_MI" localSheetId="7">YD!$A$1:$H$51</definedName>
  </definedNames>
  <calcPr calcId="152511"/>
</workbook>
</file>

<file path=xl/sharedStrings.xml><?xml version="1.0" encoding="utf-8"?>
<sst xmlns="http://schemas.openxmlformats.org/spreadsheetml/2006/main" count="1027" uniqueCount="273">
  <si>
    <t>Description</t>
  </si>
  <si>
    <t>Solid Conduction Problem</t>
  </si>
  <si>
    <t>No windows, internal load or infiltration</t>
  </si>
  <si>
    <t>Constant 20C setpoint</t>
  </si>
  <si>
    <t>E-Plus</t>
  </si>
  <si>
    <t>Annual Heating (MWh)</t>
  </si>
  <si>
    <t>Annual Cooling (MWh)</t>
  </si>
  <si>
    <t>Peak Heating (KW)</t>
  </si>
  <si>
    <t>Peak Cooling (KW)</t>
  </si>
  <si>
    <t>Difference, %</t>
  </si>
  <si>
    <t>BESTEST Case</t>
  </si>
  <si>
    <t>Rectangular box of low mass construction</t>
  </si>
  <si>
    <t>Basic Heat Transfer Problem</t>
  </si>
  <si>
    <t>Windows on South wall</t>
  </si>
  <si>
    <t>H/C Setpoint 20C/27C</t>
  </si>
  <si>
    <t>200 w internal load</t>
  </si>
  <si>
    <t>0.5 ACH infiltration</t>
  </si>
  <si>
    <t>Same as 600 with</t>
  </si>
  <si>
    <t xml:space="preserve"> </t>
  </si>
  <si>
    <t>South Shade Problem</t>
  </si>
  <si>
    <t>1.0M overhang on South Wall</t>
  </si>
  <si>
    <t>Internal load</t>
  </si>
  <si>
    <t>Infiltration</t>
  </si>
  <si>
    <t>Internal + Infiltration</t>
  </si>
  <si>
    <t>Checks using annual cooling load</t>
  </si>
  <si>
    <t>Checks using annual heating load</t>
  </si>
  <si>
    <t>Total</t>
  </si>
  <si>
    <t>Checks using peak heating day (internal load = 0.2 kW with 60% radiant, infiltration = 0.5 ACH)</t>
  </si>
  <si>
    <t>Checks using peak cooling day (internal load = 0.2 kW with 60% radiant, infiltration = 0.5 ACH)</t>
  </si>
  <si>
    <t>Windows on East &amp; West wall</t>
  </si>
  <si>
    <t>East/West Incid./Trans. Problem</t>
  </si>
  <si>
    <t>East/West Shade Problem</t>
  </si>
  <si>
    <t>Same as 620 with</t>
  </si>
  <si>
    <t>1.0M overhang &amp; fins on</t>
  </si>
  <si>
    <t xml:space="preserve">windows from roof to </t>
  </si>
  <si>
    <t>ground</t>
  </si>
  <si>
    <t>Setback Problem</t>
  </si>
  <si>
    <t>Same as 600</t>
  </si>
  <si>
    <t>Setback Thermostat</t>
  </si>
  <si>
    <t>Cooling 27C, all hours</t>
  </si>
  <si>
    <t>Heating 10C, 2300 to 0700</t>
  </si>
  <si>
    <t>Heating 20C, 0700 to 2300</t>
  </si>
  <si>
    <t>Same as 900 with</t>
  </si>
  <si>
    <t>Same as 920 with</t>
  </si>
  <si>
    <t>Same as 900</t>
  </si>
  <si>
    <t>High Mass Building</t>
  </si>
  <si>
    <t>Low Mass Building</t>
  </si>
  <si>
    <t>Free Floating Zone Temperature</t>
  </si>
  <si>
    <t>600FF</t>
  </si>
  <si>
    <t>900FF</t>
  </si>
  <si>
    <t>Free Float Temperature</t>
  </si>
  <si>
    <t>Maximum Annual Hourly Zone Temperature (C)</t>
  </si>
  <si>
    <t>Minimum Annual Hourly Zone Temperature (C)</t>
  </si>
  <si>
    <t>Average Annual Hourly Zone Temperature (C)</t>
  </si>
  <si>
    <t>BESTEST Minimum</t>
  </si>
  <si>
    <t>BESTEST Maximum</t>
  </si>
  <si>
    <t>EnergyPlus Within Range</t>
  </si>
  <si>
    <t>Passive Solar Problem</t>
  </si>
  <si>
    <t>Same as 900 but with</t>
  </si>
  <si>
    <t>sunspace and interior wall</t>
  </si>
  <si>
    <t>Sunspace is uncontrolled</t>
  </si>
  <si>
    <t>and has two windows</t>
  </si>
  <si>
    <t>BESTEST Average</t>
  </si>
  <si>
    <t>Night Ventilation Problem</t>
  </si>
  <si>
    <t>Cooling 27C, 700-1800 hrs</t>
  </si>
  <si>
    <t>Heating, always off</t>
  </si>
  <si>
    <t>Vent air 1800-700 hrs</t>
  </si>
  <si>
    <t>650FF</t>
  </si>
  <si>
    <t>Vent Air 1703.16 m3/h 1800-700 hrs</t>
  </si>
  <si>
    <t>950FF</t>
  </si>
  <si>
    <t>and also include results for DOE-2.1E and BLAST 3.0-334</t>
  </si>
  <si>
    <t>No internal load</t>
  </si>
  <si>
    <t>No infiltration</t>
  </si>
  <si>
    <t>H/C Setpoint 20C/20C</t>
  </si>
  <si>
    <t>Same as 300 with</t>
  </si>
  <si>
    <t>Solid Conduction Test</t>
  </si>
  <si>
    <t>0 w internal load</t>
  </si>
  <si>
    <t>0 ACH infiltration</t>
  </si>
  <si>
    <t>Opaque Windows</t>
  </si>
  <si>
    <t>Same as 400 except</t>
  </si>
  <si>
    <t>Replace opaque windows</t>
  </si>
  <si>
    <t>with Lt. Wt. Wall</t>
  </si>
  <si>
    <t>Ext. Solar Abs.=0.1</t>
  </si>
  <si>
    <t>Same as 410 except</t>
  </si>
  <si>
    <t>Internal Gains</t>
  </si>
  <si>
    <t>Exterior Shortwave Absorptance</t>
  </si>
  <si>
    <t>Same as 420 except</t>
  </si>
  <si>
    <t>Shortwave Abs.=0.6</t>
  </si>
  <si>
    <t>High Mass Without Solar Gains</t>
  </si>
  <si>
    <t>Same as 430 except</t>
  </si>
  <si>
    <t>High mass walls</t>
  </si>
  <si>
    <t>Thermostat Problem</t>
  </si>
  <si>
    <t>Same as 270 with</t>
  </si>
  <si>
    <t>20C Heating</t>
  </si>
  <si>
    <t>27C Cooling</t>
  </si>
  <si>
    <t>Cavity Albedo</t>
  </si>
  <si>
    <t>Same as 600 except</t>
  </si>
  <si>
    <t>Int. Shortwave Abs.=0.1</t>
  </si>
  <si>
    <t>High Mass Cavity Albedo</t>
  </si>
  <si>
    <t>Same as 900 except</t>
  </si>
  <si>
    <t>Infrared Radiation Problem</t>
  </si>
  <si>
    <t>Ext. Infrared emittance = 0.1</t>
  </si>
  <si>
    <t>Int. Infrared Radiation Problem</t>
  </si>
  <si>
    <t>Same as Case 210 with</t>
  </si>
  <si>
    <t>Same as Case 220 with</t>
  </si>
  <si>
    <t>Int. Infrared emittance = 0.1</t>
  </si>
  <si>
    <t>In-depth Base Case</t>
  </si>
  <si>
    <t>Same as Case 600 with</t>
  </si>
  <si>
    <t>Int. solar absorp = 0.1</t>
  </si>
  <si>
    <t>Thermal absorp = 0.9</t>
  </si>
  <si>
    <t>Heat &lt;20C, Cool &gt; 20C</t>
  </si>
  <si>
    <t>Ext. Infrared Radiation</t>
  </si>
  <si>
    <t>1.0 ACH Infiltration</t>
  </si>
  <si>
    <t>200 W Internal Load</t>
  </si>
  <si>
    <t>Ext. Shortwave Absorp</t>
  </si>
  <si>
    <t>Ext. shortwave abs = 0.9</t>
  </si>
  <si>
    <t>South Solar Gains</t>
  </si>
  <si>
    <t>Windows</t>
  </si>
  <si>
    <t>Int. shortwave abs = 0.9</t>
  </si>
  <si>
    <t>Same as Case 270 with</t>
  </si>
  <si>
    <t>Int. shortwave abs = 0.1</t>
  </si>
  <si>
    <t>South Shading</t>
  </si>
  <si>
    <t>Overhang</t>
  </si>
  <si>
    <t>BESTEST Min, Max, Average values conform with ASHRAE Standard 140</t>
  </si>
  <si>
    <t>Program Name and Version (with full build detail):</t>
  </si>
  <si>
    <t>Paste new data in row 61 and below.</t>
  </si>
  <si>
    <t>Cells in blue are used in titles and labels</t>
  </si>
  <si>
    <t xml:space="preserve">STANDARD 140 OUTPUT FORM - RESULTS    </t>
  </si>
  <si>
    <t>Sec5-2out.XLS</t>
  </si>
  <si>
    <t>Program Version Release Date:</t>
  </si>
  <si>
    <t>Editing them here flows thru to other tabs</t>
  </si>
  <si>
    <t>Program Name for Tables and Charts:</t>
  </si>
  <si>
    <t>To print pdf file, see instructions on "Title Page" tab.</t>
  </si>
  <si>
    <t>Results Submission Date:</t>
  </si>
  <si>
    <t>INSTRUCTIONS:</t>
  </si>
  <si>
    <t>Modeler Organization for Titles (long):</t>
  </si>
  <si>
    <t>GARD Analytics, Inc.</t>
  </si>
  <si>
    <t>1) Use specified units.</t>
  </si>
  <si>
    <t>Modeler Organization for Tables and Charts (short):</t>
  </si>
  <si>
    <t>GARD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</si>
  <si>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</si>
  <si>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</si>
  <si>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</si>
  <si>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</si>
  <si>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</si>
  <si>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</si>
  <si>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</si>
  <si>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</si>
  <si>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</si>
  <si>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</si>
  <si>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</si>
  <si>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</si>
  <si>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</si>
  <si>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</si>
  <si>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</si>
  <si>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</si>
  <si>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</si>
  <si>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</si>
  <si>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</si>
  <si>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</si>
  <si>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</si>
  <si>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</si>
  <si>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</si>
  <si>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</si>
  <si>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</si>
  <si>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</si>
  <si>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</si>
  <si>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</si>
  <si>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</si>
  <si>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</si>
  <si>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</si>
  <si>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</si>
  <si>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</si>
  <si>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</si>
  <si>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</si>
  <si>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</si>
  <si>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</si>
  <si>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</si>
  <si>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</si>
  <si>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</si>
  <si>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CASE#</t>
  </si>
  <si>
    <t>MWh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</si>
  <si>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</si>
  <si>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</si>
  <si>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</si>
  <si>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</si>
  <si>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</si>
  <si>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</si>
  <si>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</si>
  <si>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</si>
  <si>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</si>
  <si>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</si>
  <si>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</si>
  <si>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</si>
  <si>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</si>
  <si>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</si>
  <si>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</si>
  <si>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</si>
  <si>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</si>
  <si>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</si>
  <si>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</si>
  <si>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</si>
  <si>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</si>
  <si>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</si>
  <si>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</si>
  <si>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</si>
  <si>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</si>
  <si>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</si>
  <si>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</si>
  <si>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</si>
  <si>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</si>
  <si>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</si>
  <si>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</si>
  <si>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</si>
  <si>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</si>
  <si>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</si>
  <si>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</si>
  <si>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ANNUAL COOLING LOADS (COLUMN B)</t>
  </si>
  <si>
    <t>ANNUAL HOURLY INTEGRATED PEAK HEATING LOADS (COLUMNS B,C,D)</t>
  </si>
  <si>
    <t>kW</t>
  </si>
  <si>
    <t>DATE</t>
  </si>
  <si>
    <t>TIME</t>
  </si>
  <si>
    <t>ANNUAL HOURLY INTEGRATED PEAK COOLING LOADS (COLUMNS B,C,D)</t>
  </si>
  <si>
    <t>FREE-FLOAT CASE TEMPERATURE OUTPUT</t>
  </si>
  <si>
    <t>MAX ANNUAL HOURLY ZONE TEMP (COLUMNS B,C,D)</t>
  </si>
  <si>
    <t>TEMP (C)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</si>
  <si>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</si>
  <si>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</si>
  <si>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</si>
  <si>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</si>
  <si>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CASE 600</t>
  </si>
  <si>
    <t>(USE COLUMN B ONLY)</t>
  </si>
  <si>
    <t>SURFACE</t>
  </si>
  <si>
    <t>kWh/m2</t>
  </si>
  <si>
    <t>=</t>
  </si>
  <si>
    <t>600NORTH</t>
  </si>
  <si>
    <t>600EAST</t>
  </si>
  <si>
    <t>600WEST</t>
  </si>
  <si>
    <t>600SOUTH</t>
  </si>
  <si>
    <t>600HORZ.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</si>
  <si>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</si>
  <si>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</si>
  <si>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</si>
  <si>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</si>
  <si>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</si>
  <si>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</si>
  <si>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HOURLY INCIDENT SOLAR RADIATION CLOUDY DAY, MARCH 5</t>
  </si>
  <si>
    <t>CASE 600 OR 900</t>
  </si>
  <si>
    <t>SOUTH SURFACE</t>
  </si>
  <si>
    <t xml:space="preserve">    HOUR</t>
  </si>
  <si>
    <t>Wh/m2</t>
  </si>
  <si>
    <t>WEST SURFACE</t>
  </si>
  <si>
    <t>HOURLY INCIDENT SOLAR RADIATION, CLEAR DAY, JULY 27</t>
  </si>
  <si>
    <t>HOURLY FREE FLOAT TEMPERATURE DATA</t>
  </si>
  <si>
    <t>CASE 600FF JAN 4</t>
  </si>
  <si>
    <t xml:space="preserve"> TEMP (C)</t>
  </si>
  <si>
    <t>CASE 900FF JAN 4</t>
  </si>
  <si>
    <t>CASE 650FF JULY 27</t>
  </si>
  <si>
    <t>CASE 950FF JULY 27</t>
  </si>
  <si>
    <t>HOURLY HEATING &amp; COOLING LOAD DATA (COLUMN B ONLY)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</si>
  <si>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</si>
  <si>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</si>
  <si>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</si>
  <si>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</si>
  <si>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</si>
  <si>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</si>
  <si>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</si>
  <si>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# HOURS</t>
  </si>
  <si>
    <t>Comparison Of EnergyPlus Results with Standard 140-2011</t>
  </si>
  <si>
    <t>Using EnergyPlus Version {{ engine.config["EnergyPlusVersion"] }} with Standard 140-2011 weather file</t>
  </si>
  <si>
    <t>EnergyPlus {{ engine.config["EnergyPlusVersion"] }}</t>
  </si>
  <si>
    <t>{{ engine.day_month_year() }}</t>
  </si>
  <si>
    <t>E+{{ engine.config["EnergyPlusVersion"]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</si>
</sst>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%"/>
    <numFmt numFmtId="167" formatCode="0.0"/>
    <numFmt numFmtId="168" formatCode="dd\-mmm_)"/>
    <numFmt numFmtId="169" formatCode="d\-mmm\-yyyy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3" fillId="0" borderId="0" xfId="0" applyFont="1"/>
    <xf numFmtId="167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7" fontId="4" fillId="0" borderId="0" xfId="0" applyNumberFormat="1" applyFont="1"/>
    <xf numFmtId="166" fontId="0" fillId="0" borderId="0" xfId="0" applyNumberFormat="1" applyAlignment="1">
      <alignment horizontal="right"/>
    </xf>
    <xf numFmtId="2" fontId="0" fillId="0" borderId="0" xfId="0" applyNumberFormat="1"/>
    <xf numFmtId="0" fontId="6" fillId="0" borderId="0" xfId="1"/>
    <xf numFmtId="0" fontId="1" fillId="0" borderId="0" xfId="2" applyFont="1"/>
    <xf numFmtId="0" fontId="4" fillId="0" borderId="0" xfId="2" applyFont="1"/>
    <xf numFmtId="0" fontId="4" fillId="0" borderId="0" xfId="1" applyFont="1"/>
    <xf numFmtId="0" fontId="7" fillId="0" borderId="0" xfId="2" applyFont="1"/>
    <xf numFmtId="0" fontId="4" fillId="2" borderId="1" xfId="2" applyFont="1" applyFill="1" applyBorder="1"/>
    <xf numFmtId="0" fontId="4" fillId="2" borderId="2" xfId="2" applyFont="1" applyFill="1" applyBorder="1"/>
    <xf numFmtId="0" fontId="4" fillId="2" borderId="3" xfId="2" applyFont="1" applyFill="1" applyBorder="1"/>
    <xf numFmtId="169" fontId="4" fillId="2" borderId="4" xfId="2" applyNumberFormat="1" applyFont="1" applyFill="1" applyBorder="1"/>
    <xf numFmtId="0" fontId="4" fillId="2" borderId="4" xfId="2" applyFont="1" applyFill="1" applyBorder="1"/>
    <xf numFmtId="0" fontId="5" fillId="0" borderId="0" xfId="2" applyFont="1"/>
    <xf numFmtId="168" fontId="6" fillId="0" borderId="0" xfId="1" applyNumberFormat="1" applyProtection="1"/>
    <xf numFmtId="0" fontId="8" fillId="0" borderId="0" xfId="1" applyFont="1"/>
    <xf numFmtId="0" fontId="9" fillId="0" borderId="0" xfId="1" applyFont="1" applyProtection="1">
      <protection locked="0"/>
    </xf>
    <xf numFmtId="0" fontId="6" fillId="0" borderId="0" xfId="1" applyAlignment="1">
      <alignment horizontal="center"/>
    </xf>
    <xf numFmtId="168" fontId="9" fillId="0" borderId="0" xfId="1" applyNumberFormat="1" applyFont="1" applyProtection="1">
      <protection locked="0"/>
    </xf>
    <xf numFmtId="168" fontId="6" fillId="0" borderId="0" xfId="1" applyNumberFormat="1" applyAlignment="1" applyProtection="1">
      <alignment horizontal="center"/>
    </xf>
    <xf numFmtId="0" fontId="6" fillId="0" borderId="0" xfId="1" applyAlignment="1">
      <alignment horizontal="fill"/>
    </xf>
    <xf numFmtId="164" fontId="10" fillId="0" borderId="0" xfId="0" applyNumberFormat="1" applyFont="1"/>
    <xf numFmtId="165" fontId="10" fillId="0" borderId="0" xfId="0" applyNumberFormat="1" applyFont="1"/>
    <xf numFmtId="167" fontId="10" fillId="0" borderId="0" xfId="0" applyNumberFormat="1" applyFont="1"/>
    <xf numFmtId="1" fontId="10" fillId="0" borderId="0" xfId="0" applyNumberFormat="1" applyFont="1"/>
    <xf numFmtId="0" fontId="10" fillId="0" borderId="0" xfId="0" applyFont="1"/>
  </cellXfs>
  <cellStyles count="3">
    <cellStyle name="Normal" xfId="0" builtinId="0"/>
    <cellStyle name="Normal_Sec5-2out" xfId="1"/>
    <cellStyle name="Normal_Std140 LOADS-NewResultsComparison-Rev20080129-EnergyPlus200-RHH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5-2out-Part%201%20Results%20and%20Bar%20Charts-Cases%20600%20thru%209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1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2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3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4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6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5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00FF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00FF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50FF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50F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195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0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1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15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2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3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4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5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7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8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29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0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30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31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320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395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40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41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42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43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44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80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10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810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%20900FF%20Temperature%20Bi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2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3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4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5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-Build Title"/>
      <sheetName val="Low Annual Heating"/>
      <sheetName val="Low Annual Cooling"/>
      <sheetName val="Low Peak Heating"/>
      <sheetName val="Low Peak Cooling"/>
      <sheetName val="High Annual Heating"/>
      <sheetName val="High Annual Cooling"/>
      <sheetName val="High Peak Heating"/>
      <sheetName val="High Peak Cooling"/>
      <sheetName val="FF Maximum Temp"/>
      <sheetName val="FF Minimum Temp"/>
      <sheetName val="Case 195"/>
      <sheetName val="Delta-South Shade-Load"/>
      <sheetName val="Delta-South Shade-Peak"/>
      <sheetName val="Delta-East&amp;West-Load"/>
      <sheetName val="Delta-East&amp;West-Peak"/>
      <sheetName val="Delta-E&amp;WShade-Load"/>
      <sheetName val="Delta-E&amp;WShade-Peak"/>
      <sheetName val="Delta-TSetback-Heat"/>
      <sheetName val="Delta-TSetback-PeakHeat"/>
      <sheetName val="Delta-VentCool-Load"/>
      <sheetName val="Delta-VentCool-Peak"/>
      <sheetName val="Delta-Sunspace-Load"/>
      <sheetName val="Delta-Sunspace-Peak"/>
      <sheetName val="Delta-Mass Effect-Annual"/>
      <sheetName val="Delta-Mass Effect-Peak"/>
      <sheetName val="Delta-South Window-Annual"/>
      <sheetName val="Delta-South Window-Peak"/>
      <sheetName val="Indepth 1"/>
      <sheetName val="Indepth 2"/>
      <sheetName val="Indepth 3"/>
      <sheetName val="Indepth 4"/>
      <sheetName val="Indepth 5"/>
      <sheetName val="Indepth 6"/>
      <sheetName val="Indepth 7"/>
      <sheetName val="Indepth 8"/>
      <sheetName val="Indepth 9"/>
      <sheetName val="Indepth 10"/>
      <sheetName val="Indepth 11"/>
      <sheetName val="Indepth 12"/>
      <sheetName val="Indepth Delta 3"/>
      <sheetName val="Indepth Delta 4"/>
      <sheetName val="Indepth Delta 5"/>
      <sheetName val="Indepth Delta 6"/>
      <sheetName val="Indepth Delta 7"/>
      <sheetName val="Indepth Delta 8"/>
      <sheetName val="Hourly-IncidentSolar-South"/>
      <sheetName val="Hourly-IncidentSolar-West"/>
      <sheetName val="Hourly-FreeFloatTemp-ColdDay"/>
      <sheetName val="Hourly-FreeFloatTemp-HotDay"/>
      <sheetName val="Hourly-Loads-Case600"/>
      <sheetName val="Hourly-Loads-Case900"/>
      <sheetName val="RESULTS1"/>
    </sheetNames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10"/>
    </sheetNames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20"/>
    </sheetNames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30"/>
    </sheetNames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40"/>
    </sheet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60"/>
    </sheet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50"/>
    </sheetNames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00FF"/>
    </sheetNames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00FF"/>
    </sheetNames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50FF"/>
    </sheetNames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50FF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195"/>
    </sheetNames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00"/>
    </sheetNames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10"/>
    </sheetNames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15"/>
    </sheetNames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20"/>
    </sheetNames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30"/>
    </sheetNames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40"/>
    </sheetNames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50"/>
    </sheetNames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70"/>
    </sheetNames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80"/>
    </sheetNames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290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00"/>
    </sheetNames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300"/>
    </sheetNames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310"/>
    </sheetNames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320"/>
    </sheetNames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395"/>
    </sheetNames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00"/>
    </sheetNames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10"/>
    </sheetNames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20"/>
    </sheetNames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30"/>
    </sheetNames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40"/>
    </sheetNames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800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10"/>
    </sheetNames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810"/>
    </sheetNames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20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30"/>
    </sheet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40"/>
    </sheet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50"/>
    </sheet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00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workbookViewId="0">
      <selection activeCell="C1" sqref="C1"/>
    </sheetView>
  </sheetViews>
  <sheetFormatPr defaultRowHeight="12.75" x14ac:dyDescent="0.2"/>
  <cols>
    <col min="1" max="1" width="13.140625" customWidth="1"/>
    <col min="2" max="2" width="10" customWidth="1"/>
    <col min="3" max="3" width="15.5703125" bestFit="1" customWidth="1"/>
    <col min="6" max="6" width="4.5703125" customWidth="1"/>
    <col min="7" max="7" width="15.5703125" customWidth="1"/>
    <col min="8" max="8" width="2.42578125" customWidth="1"/>
    <col min="9" max="10" width="11.7109375" customWidth="1"/>
    <col min="11" max="11" width="11.7109375" style="4" customWidth="1"/>
    <col min="12" max="12" width="11.7109375" customWidth="1"/>
    <col min="13" max="13" width="2.5703125" customWidth="1"/>
    <col min="14" max="17" width="11.7109375" customWidth="1"/>
  </cols>
  <sheetData>
    <row r="1" spans="1:11" ht="18" x14ac:dyDescent="0.25">
      <c r="A1" s="2" t="s">
        <v>268</v>
      </c>
    </row>
    <row r="2" spans="1:11" ht="15" x14ac:dyDescent="0.25">
      <c r="A2" s="12" t="s">
        <v>269</v>
      </c>
    </row>
    <row r="4" spans="1:11" x14ac:dyDescent="0.2">
      <c r="A4" s="1" t="s">
        <v>123</v>
      </c>
      <c r="J4" s="4"/>
      <c r="K4"/>
    </row>
    <row r="5" spans="1:11" x14ac:dyDescent="0.2">
      <c r="A5" s="1" t="s">
        <v>70</v>
      </c>
      <c r="J5" s="4"/>
      <c r="K5"/>
    </row>
    <row r="6" spans="1:11" x14ac:dyDescent="0.2">
      <c r="J6" s="4"/>
      <c r="K6"/>
    </row>
    <row r="7" spans="1:11" x14ac:dyDescent="0.2">
      <c r="J7" s="4"/>
      <c r="K7"/>
    </row>
    <row r="8" spans="1:11" ht="15" x14ac:dyDescent="0.25">
      <c r="A8" s="12"/>
    </row>
    <row r="9" spans="1:11" ht="15" x14ac:dyDescent="0.25">
      <c r="A9" s="12" t="s">
        <v>46</v>
      </c>
    </row>
    <row r="11" spans="1:11" x14ac:dyDescent="0.2">
      <c r="A11" s="1" t="s">
        <v>10</v>
      </c>
      <c r="C11" s="10">
        <v>195</v>
      </c>
    </row>
    <row r="13" spans="1:11" x14ac:dyDescent="0.2">
      <c r="A13" s="1" t="s">
        <v>0</v>
      </c>
      <c r="C13" s="1" t="s">
        <v>1</v>
      </c>
    </row>
    <row r="14" spans="1:11" x14ac:dyDescent="0.2">
      <c r="C14" t="s">
        <v>11</v>
      </c>
    </row>
    <row r="15" spans="1:11" x14ac:dyDescent="0.2">
      <c r="C15" t="s">
        <v>2</v>
      </c>
    </row>
    <row r="16" spans="1:11" x14ac:dyDescent="0.2">
      <c r="C16" t="s">
        <v>3</v>
      </c>
    </row>
    <row r="20" spans="1:5" x14ac:dyDescent="0.2">
      <c r="A20" s="1" t="s">
        <v>5</v>
      </c>
    </row>
    <row r="21" spans="1:5" x14ac:dyDescent="0.2">
      <c r="A21" t="s">
        <v>54</v>
      </c>
      <c r="C21" s="9">
        <f>[1]RESULTS1!$N$72</f>
        <v>4.1669999999999998</v>
      </c>
      <c r="E21" s="9"/>
    </row>
    <row r="22" spans="1:5" x14ac:dyDescent="0.2">
      <c r="A22" t="s">
        <v>55</v>
      </c>
      <c r="C22" s="16">
        <f>[1]RESULTS1!$O$72</f>
        <v>4.1669999999999998</v>
      </c>
    </row>
    <row r="23" spans="1:5" x14ac:dyDescent="0.2">
      <c r="A23" t="s">
        <v>62</v>
      </c>
      <c r="C23" s="16">
        <f>[1]RESULTS1!$P$72</f>
        <v>4.1669999999999998</v>
      </c>
    </row>
    <row r="24" spans="1:5" x14ac:dyDescent="0.2">
      <c r="A24" t="s">
        <v>4</v>
      </c>
      <c r="C24" s="9">
        <f>SUM([2]case195!$B$2:$B$8761)/3600/1000000</f>
        <v>4.3573905330260017</v>
      </c>
    </row>
    <row r="25" spans="1:5" x14ac:dyDescent="0.2">
      <c r="A25" t="s">
        <v>9</v>
      </c>
      <c r="C25" s="5">
        <f>(C24-C23)/C23</f>
        <v>4.569007272042281E-2</v>
      </c>
    </row>
    <row r="26" spans="1:5" x14ac:dyDescent="0.2">
      <c r="A26" s="14" t="s">
        <v>56</v>
      </c>
      <c r="C26" s="6" t="str">
        <f>IF(C24&gt;=C21,IF(C24&lt;=C22,"YES","NO"),"NO")</f>
        <v>NO</v>
      </c>
    </row>
    <row r="29" spans="1:5" x14ac:dyDescent="0.2">
      <c r="A29" s="1" t="s">
        <v>6</v>
      </c>
    </row>
    <row r="30" spans="1:5" x14ac:dyDescent="0.2">
      <c r="A30" t="s">
        <v>54</v>
      </c>
      <c r="C30" s="16">
        <f>[1]RESULTS1!$N$117</f>
        <v>0.41399999999999998</v>
      </c>
    </row>
    <row r="31" spans="1:5" x14ac:dyDescent="0.2">
      <c r="A31" t="s">
        <v>55</v>
      </c>
      <c r="C31" s="16">
        <f>[1]RESULTS1!$O$117</f>
        <v>0.41399999999999998</v>
      </c>
    </row>
    <row r="32" spans="1:5" x14ac:dyDescent="0.2">
      <c r="A32" t="s">
        <v>62</v>
      </c>
      <c r="C32" s="16">
        <f>[1]RESULTS1!$P$117</f>
        <v>0.41399999999999998</v>
      </c>
    </row>
    <row r="33" spans="1:11" x14ac:dyDescent="0.2">
      <c r="A33" t="s">
        <v>4</v>
      </c>
      <c r="C33" s="9">
        <f>SUM([2]case195!$C$2:$C$8761)/3600/1000000</f>
        <v>0.41215669764007873</v>
      </c>
    </row>
    <row r="34" spans="1:11" x14ac:dyDescent="0.2">
      <c r="A34" t="s">
        <v>9</v>
      </c>
      <c r="C34" s="5">
        <f>(C33-C32)/C32</f>
        <v>-4.4524211592300742E-3</v>
      </c>
    </row>
    <row r="35" spans="1:11" x14ac:dyDescent="0.2">
      <c r="A35" s="14" t="s">
        <v>56</v>
      </c>
      <c r="C35" s="6" t="str">
        <f>IF(C33&gt;=C30,IF(C33&lt;=C31,"YES","NO"),"NO")</f>
        <v>NO</v>
      </c>
    </row>
    <row r="38" spans="1:11" x14ac:dyDescent="0.2">
      <c r="A38" s="1" t="s">
        <v>7</v>
      </c>
    </row>
    <row r="39" spans="1:11" x14ac:dyDescent="0.2">
      <c r="A39" t="s">
        <v>54</v>
      </c>
      <c r="C39" s="16">
        <f>[1]RESULTS1!$N$165</f>
        <v>2.004</v>
      </c>
    </row>
    <row r="40" spans="1:11" x14ac:dyDescent="0.2">
      <c r="A40" t="s">
        <v>55</v>
      </c>
      <c r="C40" s="16">
        <f>[1]RESULTS1!$O$165</f>
        <v>2.004</v>
      </c>
    </row>
    <row r="41" spans="1:11" x14ac:dyDescent="0.2">
      <c r="A41" t="s">
        <v>62</v>
      </c>
      <c r="C41" s="16">
        <f>[1]RESULTS1!$P$165</f>
        <v>2.004</v>
      </c>
    </row>
    <row r="42" spans="1:11" x14ac:dyDescent="0.2">
      <c r="A42" t="s">
        <v>4</v>
      </c>
      <c r="C42" s="9">
        <f>MAX([2]case195!$B$2:$B$8761)/3600/1000</f>
        <v>2.0902045656822996</v>
      </c>
    </row>
    <row r="43" spans="1:11" x14ac:dyDescent="0.2">
      <c r="A43" t="s">
        <v>9</v>
      </c>
      <c r="C43" s="5">
        <f>(C42-C41)/C41</f>
        <v>4.3016250340468867E-2</v>
      </c>
    </row>
    <row r="44" spans="1:11" x14ac:dyDescent="0.2">
      <c r="A44" s="14" t="s">
        <v>56</v>
      </c>
      <c r="C44" s="6" t="str">
        <f>IF(C42&gt;=C39,IF(C42&lt;=C40,"YES","NO"),"NO")</f>
        <v>NO</v>
      </c>
    </row>
    <row r="45" spans="1:11" x14ac:dyDescent="0.2">
      <c r="K45"/>
    </row>
    <row r="46" spans="1:11" x14ac:dyDescent="0.2">
      <c r="K46"/>
    </row>
    <row r="47" spans="1:11" x14ac:dyDescent="0.2">
      <c r="A47" s="1" t="s">
        <v>8</v>
      </c>
    </row>
    <row r="48" spans="1:11" x14ac:dyDescent="0.2">
      <c r="A48" t="s">
        <v>54</v>
      </c>
      <c r="C48" s="15">
        <f>[1]RESULTS1!$N$211</f>
        <v>0.65100000000000002</v>
      </c>
    </row>
    <row r="49" spans="1:11" x14ac:dyDescent="0.2">
      <c r="A49" t="s">
        <v>55</v>
      </c>
      <c r="C49" s="15">
        <f>[1]RESULTS1!$O$211</f>
        <v>0.65100000000000002</v>
      </c>
    </row>
    <row r="50" spans="1:11" x14ac:dyDescent="0.2">
      <c r="A50" t="s">
        <v>62</v>
      </c>
      <c r="C50" s="17">
        <f>[1]RESULTS1!$P$211</f>
        <v>0.65100000000000002</v>
      </c>
    </row>
    <row r="51" spans="1:11" x14ac:dyDescent="0.2">
      <c r="A51" t="s">
        <v>4</v>
      </c>
      <c r="C51" s="9">
        <f>MAX([2]case195!$C$2:$C$8761)/3600/1000</f>
        <v>0.72934807361156662</v>
      </c>
    </row>
    <row r="52" spans="1:11" x14ac:dyDescent="0.2">
      <c r="A52" t="s">
        <v>9</v>
      </c>
      <c r="C52" s="5">
        <f>(C51-C50)/C50</f>
        <v>0.1203503434893496</v>
      </c>
    </row>
    <row r="53" spans="1:11" x14ac:dyDescent="0.2">
      <c r="A53" s="14" t="s">
        <v>56</v>
      </c>
      <c r="C53" s="6" t="str">
        <f>IF(C51&gt;=C48,IF(C51&lt;=C49,"YES","NO"),"NO")</f>
        <v>NO</v>
      </c>
      <c r="K53"/>
    </row>
    <row r="54" spans="1:11" x14ac:dyDescent="0.2">
      <c r="K54"/>
    </row>
    <row r="60" spans="1:11" hidden="1" x14ac:dyDescent="0.2">
      <c r="C60" t="s">
        <v>27</v>
      </c>
    </row>
    <row r="61" spans="1:11" hidden="1" x14ac:dyDescent="0.2"/>
    <row r="62" spans="1:11" hidden="1" x14ac:dyDescent="0.2">
      <c r="D62" t="s">
        <v>21</v>
      </c>
    </row>
    <row r="63" spans="1:11" hidden="1" x14ac:dyDescent="0.2">
      <c r="D63" t="s">
        <v>22</v>
      </c>
    </row>
    <row r="64" spans="1:11" hidden="1" x14ac:dyDescent="0.2">
      <c r="D64" t="s">
        <v>26</v>
      </c>
    </row>
    <row r="65" spans="3:4" hidden="1" x14ac:dyDescent="0.2">
      <c r="D65" t="s">
        <v>23</v>
      </c>
    </row>
    <row r="66" spans="3:4" hidden="1" x14ac:dyDescent="0.2"/>
    <row r="67" spans="3:4" hidden="1" x14ac:dyDescent="0.2">
      <c r="C67" t="s">
        <v>28</v>
      </c>
    </row>
    <row r="68" spans="3:4" hidden="1" x14ac:dyDescent="0.2"/>
    <row r="69" spans="3:4" hidden="1" x14ac:dyDescent="0.2">
      <c r="D69" t="s">
        <v>21</v>
      </c>
    </row>
    <row r="70" spans="3:4" hidden="1" x14ac:dyDescent="0.2">
      <c r="D70" t="s">
        <v>22</v>
      </c>
    </row>
    <row r="71" spans="3:4" hidden="1" x14ac:dyDescent="0.2">
      <c r="D71" t="s">
        <v>26</v>
      </c>
    </row>
    <row r="72" spans="3:4" hidden="1" x14ac:dyDescent="0.2">
      <c r="D72" t="s">
        <v>23</v>
      </c>
    </row>
    <row r="73" spans="3:4" hidden="1" x14ac:dyDescent="0.2"/>
    <row r="74" spans="3:4" hidden="1" x14ac:dyDescent="0.2">
      <c r="C74" t="s">
        <v>25</v>
      </c>
    </row>
    <row r="75" spans="3:4" hidden="1" x14ac:dyDescent="0.2"/>
    <row r="76" spans="3:4" hidden="1" x14ac:dyDescent="0.2">
      <c r="D76" t="s">
        <v>21</v>
      </c>
    </row>
    <row r="77" spans="3:4" hidden="1" x14ac:dyDescent="0.2">
      <c r="D77" t="s">
        <v>22</v>
      </c>
    </row>
    <row r="78" spans="3:4" hidden="1" x14ac:dyDescent="0.2">
      <c r="D78" t="s">
        <v>26</v>
      </c>
    </row>
    <row r="79" spans="3:4" hidden="1" x14ac:dyDescent="0.2">
      <c r="D79" t="s">
        <v>23</v>
      </c>
    </row>
    <row r="80" spans="3:4" hidden="1" x14ac:dyDescent="0.2"/>
    <row r="81" spans="3:4" hidden="1" x14ac:dyDescent="0.2">
      <c r="C81" t="s">
        <v>24</v>
      </c>
    </row>
    <row r="82" spans="3:4" hidden="1" x14ac:dyDescent="0.2"/>
    <row r="83" spans="3:4" hidden="1" x14ac:dyDescent="0.2">
      <c r="D83" t="s">
        <v>21</v>
      </c>
    </row>
    <row r="84" spans="3:4" hidden="1" x14ac:dyDescent="0.2">
      <c r="D84" t="s">
        <v>22</v>
      </c>
    </row>
    <row r="85" spans="3:4" hidden="1" x14ac:dyDescent="0.2">
      <c r="D85" t="s">
        <v>26</v>
      </c>
    </row>
    <row r="86" spans="3:4" hidden="1" x14ac:dyDescent="0.2">
      <c r="D86" t="s">
        <v>23</v>
      </c>
    </row>
    <row r="87" spans="3:4" hidden="1" x14ac:dyDescent="0.2"/>
    <row r="88" spans="3:4" hidden="1" x14ac:dyDescent="0.2"/>
    <row r="89" spans="3:4" hidden="1" x14ac:dyDescent="0.2"/>
  </sheetData>
  <phoneticPr fontId="0" type="noConversion"/>
  <pageMargins left="0.25" right="0" top="0.25" bottom="0.25" header="0.5" footer="0.2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workbookViewId="0">
      <selection activeCell="C21" sqref="C21"/>
    </sheetView>
  </sheetViews>
  <sheetFormatPr defaultRowHeight="12.75" x14ac:dyDescent="0.2"/>
  <cols>
    <col min="1" max="1" width="13.140625" customWidth="1"/>
    <col min="2" max="2" width="10" customWidth="1"/>
    <col min="3" max="3" width="9.140625" style="4"/>
    <col min="5" max="5" width="8.42578125" customWidth="1"/>
    <col min="6" max="6" width="3.5703125" customWidth="1"/>
    <col min="8" max="8" width="18.42578125" customWidth="1"/>
    <col min="9" max="9" width="10" bestFit="1" customWidth="1"/>
    <col min="10" max="10" width="22.140625" customWidth="1"/>
    <col min="12" max="12" width="16.7109375" customWidth="1"/>
    <col min="15" max="15" width="5.5703125" customWidth="1"/>
    <col min="16" max="16" width="2.42578125" customWidth="1"/>
    <col min="17" max="20" width="11.7109375" customWidth="1"/>
    <col min="21" max="21" width="2.5703125" customWidth="1"/>
    <col min="22" max="25" width="11.7109375" customWidth="1"/>
  </cols>
  <sheetData>
    <row r="1" spans="1:17" ht="18" x14ac:dyDescent="0.25">
      <c r="A1" s="2" t="s">
        <v>268</v>
      </c>
    </row>
    <row r="2" spans="1:17" ht="15" x14ac:dyDescent="0.25">
      <c r="A2" s="12" t="s">
        <v>269</v>
      </c>
    </row>
    <row r="3" spans="1:17" x14ac:dyDescent="0.2">
      <c r="C3"/>
    </row>
    <row r="4" spans="1:17" x14ac:dyDescent="0.2">
      <c r="A4" s="1" t="s">
        <v>123</v>
      </c>
      <c r="C4"/>
    </row>
    <row r="5" spans="1:17" x14ac:dyDescent="0.2">
      <c r="A5" s="1" t="s">
        <v>70</v>
      </c>
      <c r="C5"/>
    </row>
    <row r="6" spans="1:17" x14ac:dyDescent="0.2">
      <c r="C6"/>
    </row>
    <row r="7" spans="1:17" x14ac:dyDescent="0.2">
      <c r="C7"/>
    </row>
    <row r="8" spans="1:17" ht="15" x14ac:dyDescent="0.25">
      <c r="A8" s="12"/>
      <c r="C8"/>
    </row>
    <row r="9" spans="1:17" ht="15" x14ac:dyDescent="0.25">
      <c r="A9" s="12" t="s">
        <v>46</v>
      </c>
    </row>
    <row r="10" spans="1:17" x14ac:dyDescent="0.2">
      <c r="D10" s="3"/>
    </row>
    <row r="11" spans="1:17" x14ac:dyDescent="0.2">
      <c r="A11" s="1" t="s">
        <v>10</v>
      </c>
      <c r="C11" s="11">
        <v>600</v>
      </c>
      <c r="D11" s="3"/>
      <c r="G11" s="10">
        <v>610</v>
      </c>
      <c r="H11" s="1"/>
      <c r="I11" s="10">
        <v>620</v>
      </c>
      <c r="J11" s="1"/>
      <c r="K11" s="10">
        <v>630</v>
      </c>
      <c r="M11" s="10">
        <v>640</v>
      </c>
      <c r="Q11" s="10">
        <v>650</v>
      </c>
    </row>
    <row r="12" spans="1:17" x14ac:dyDescent="0.2">
      <c r="G12" s="1"/>
      <c r="H12" s="1"/>
      <c r="I12" s="1"/>
      <c r="J12" s="1"/>
      <c r="K12" s="1"/>
      <c r="M12" s="1"/>
      <c r="Q12" s="1"/>
    </row>
    <row r="13" spans="1:17" x14ac:dyDescent="0.2">
      <c r="A13" s="1" t="s">
        <v>0</v>
      </c>
      <c r="C13" s="8" t="s">
        <v>12</v>
      </c>
      <c r="G13" s="1" t="s">
        <v>19</v>
      </c>
      <c r="H13" s="1"/>
      <c r="I13" s="1" t="s">
        <v>30</v>
      </c>
      <c r="J13" s="1"/>
      <c r="K13" s="1" t="s">
        <v>31</v>
      </c>
      <c r="M13" s="1" t="s">
        <v>36</v>
      </c>
      <c r="Q13" s="1" t="s">
        <v>63</v>
      </c>
    </row>
    <row r="14" spans="1:17" x14ac:dyDescent="0.2">
      <c r="C14" s="4" t="s">
        <v>13</v>
      </c>
      <c r="G14" t="s">
        <v>17</v>
      </c>
      <c r="I14" s="4" t="s">
        <v>29</v>
      </c>
      <c r="K14" t="s">
        <v>32</v>
      </c>
      <c r="M14" t="s">
        <v>37</v>
      </c>
      <c r="Q14" t="s">
        <v>37</v>
      </c>
    </row>
    <row r="15" spans="1:17" x14ac:dyDescent="0.2">
      <c r="C15" s="4" t="s">
        <v>15</v>
      </c>
      <c r="G15" t="s">
        <v>20</v>
      </c>
      <c r="I15" s="4" t="s">
        <v>15</v>
      </c>
      <c r="K15" t="s">
        <v>33</v>
      </c>
      <c r="M15" t="s">
        <v>38</v>
      </c>
      <c r="Q15" t="s">
        <v>66</v>
      </c>
    </row>
    <row r="16" spans="1:17" x14ac:dyDescent="0.2">
      <c r="C16" s="4" t="s">
        <v>16</v>
      </c>
      <c r="I16" s="4" t="s">
        <v>16</v>
      </c>
      <c r="K16" t="s">
        <v>34</v>
      </c>
      <c r="M16" t="s">
        <v>39</v>
      </c>
      <c r="Q16" t="s">
        <v>64</v>
      </c>
    </row>
    <row r="17" spans="1:17" x14ac:dyDescent="0.2">
      <c r="C17" s="4" t="s">
        <v>14</v>
      </c>
      <c r="I17" s="4" t="s">
        <v>14</v>
      </c>
      <c r="K17" t="s">
        <v>35</v>
      </c>
      <c r="M17" t="s">
        <v>40</v>
      </c>
      <c r="Q17" t="s">
        <v>65</v>
      </c>
    </row>
    <row r="18" spans="1:17" x14ac:dyDescent="0.2">
      <c r="C18" s="8" t="s">
        <v>18</v>
      </c>
      <c r="M18" t="s">
        <v>41</v>
      </c>
      <c r="Q18" t="s">
        <v>18</v>
      </c>
    </row>
    <row r="19" spans="1:17" x14ac:dyDescent="0.2">
      <c r="C19" s="8" t="s">
        <v>18</v>
      </c>
    </row>
    <row r="20" spans="1:17" x14ac:dyDescent="0.2">
      <c r="A20" s="1" t="s">
        <v>5</v>
      </c>
    </row>
    <row r="21" spans="1:17" x14ac:dyDescent="0.2">
      <c r="A21" t="s">
        <v>54</v>
      </c>
      <c r="C21" s="4">
        <f>[1]RESULTS1!$N$55</f>
        <v>4.2960000000000003</v>
      </c>
      <c r="G21">
        <f>[1]RESULTS1!$N$56</f>
        <v>4.3550000000000004</v>
      </c>
      <c r="I21">
        <f>[1]RESULTS1!$N$57</f>
        <v>4.6130000000000004</v>
      </c>
      <c r="K21" s="4">
        <f>[1]RESULTS1!$N$58</f>
        <v>5.05</v>
      </c>
      <c r="M21">
        <f>[1]RESULTS1!$N$59</f>
        <v>2.7509999999999999</v>
      </c>
      <c r="Q21">
        <f>[1]RESULTS1!$N$60</f>
        <v>0</v>
      </c>
    </row>
    <row r="22" spans="1:17" x14ac:dyDescent="0.2">
      <c r="A22" t="s">
        <v>55</v>
      </c>
      <c r="C22" s="4">
        <f>[1]RESULTS1!$O$55</f>
        <v>5.7089999999999996</v>
      </c>
      <c r="G22">
        <f>[1]RESULTS1!$O$56</f>
        <v>5.7859999999999996</v>
      </c>
      <c r="I22">
        <f>[1]RESULTS1!$O$57</f>
        <v>5.944</v>
      </c>
      <c r="K22">
        <f>[1]RESULTS1!$O$58</f>
        <v>6.4690000000000003</v>
      </c>
      <c r="M22">
        <f>[1]RESULTS1!$O$59</f>
        <v>3.8029999999999999</v>
      </c>
      <c r="Q22" s="4">
        <f>[1]RESULTS1!$O$60</f>
        <v>4.1710000000000004E-6</v>
      </c>
    </row>
    <row r="23" spans="1:17" x14ac:dyDescent="0.2">
      <c r="A23" t="s">
        <v>62</v>
      </c>
      <c r="C23" s="4">
        <f>[1]RESULTS1!$P$55</f>
        <v>5.0457272727272731</v>
      </c>
      <c r="G23" s="4">
        <f>[1]RESULTS1!$P$56</f>
        <v>5.0983636363636364</v>
      </c>
      <c r="I23" s="4">
        <f>[1]RESULTS1!$P$57</f>
        <v>5.3283636363636369</v>
      </c>
      <c r="K23" s="17">
        <f>[1]RESULTS1!$P$58</f>
        <v>5.6861000000000006</v>
      </c>
      <c r="M23" s="4">
        <f>[1]RESULTS1!$P$59</f>
        <v>3.1354545454545457</v>
      </c>
      <c r="Q23" s="4">
        <f>[1]RESULTS1!$P$60</f>
        <v>3.7918181818181823E-7</v>
      </c>
    </row>
    <row r="24" spans="1:17" x14ac:dyDescent="0.2">
      <c r="A24" t="s">
        <v>4</v>
      </c>
      <c r="C24" s="4">
        <f>SUM([3]case600!$B$2:$B$8761)/3600/1000000</f>
        <v>4.3784173907655699</v>
      </c>
      <c r="G24" s="4">
        <f>SUM([4]case610!$B$2:$B$8761)/3600/1000000</f>
        <v>4.4215314043653073</v>
      </c>
      <c r="I24" s="4">
        <f>SUM([5]case620!$B$2:$B$8761)/3600/1000000</f>
        <v>4.5502169423450081</v>
      </c>
      <c r="K24" s="4">
        <f>SUM([6]case630!$B$2:$B$8761)/3600/1000000</f>
        <v>4.8813992178224126</v>
      </c>
      <c r="M24" s="4">
        <f>SUM([7]case640!$B$2:$B$8761)/3600/1000000</f>
        <v>2.6842558832752892</v>
      </c>
      <c r="Q24" s="4">
        <f>SUM([8]case650!$B$2:$B$8761)/3600/1000000</f>
        <v>0</v>
      </c>
    </row>
    <row r="25" spans="1:17" x14ac:dyDescent="0.2">
      <c r="A25" t="s">
        <v>9</v>
      </c>
      <c r="C25" s="5">
        <f>(C24-C23)/C23</f>
        <v>-0.13225246746263686</v>
      </c>
      <c r="G25" s="5">
        <f>(G24-G23)/G23</f>
        <v>-0.13275479747479799</v>
      </c>
      <c r="I25" s="5">
        <f>(I24-I23)/I23</f>
        <v>-0.14603858653867666</v>
      </c>
      <c r="K25" s="5">
        <f>(K24-K23)/K23</f>
        <v>-0.14152068767302509</v>
      </c>
      <c r="M25" s="5">
        <f>(M24-M23)/M23</f>
        <v>-0.14390215378288843</v>
      </c>
      <c r="Q25" s="20">
        <f>(Q24-Q23)/Q23</f>
        <v>-1</v>
      </c>
    </row>
    <row r="26" spans="1:17" x14ac:dyDescent="0.2">
      <c r="A26" s="14" t="s">
        <v>56</v>
      </c>
      <c r="B26" s="3"/>
      <c r="C26" s="6" t="str">
        <f>IF(C24&gt;=C21,IF(C24&lt;=C22,"YES","NO"),"NO")</f>
        <v>YES</v>
      </c>
      <c r="D26" s="3"/>
      <c r="E26" s="3"/>
      <c r="F26" s="3"/>
      <c r="G26" s="6" t="str">
        <f>IF(G24&gt;=G21,IF(G24&lt;=G22,"YES","NO"),"NO")</f>
        <v>YES</v>
      </c>
      <c r="H26" s="3"/>
      <c r="I26" s="6" t="str">
        <f>IF(I24&gt;=I21,IF(I24&lt;=I22,"YES","NO"),"NO")</f>
        <v>NO</v>
      </c>
      <c r="J26" s="3"/>
      <c r="K26" s="6" t="str">
        <f>IF(K24&gt;=K21,IF(K24&lt;=K22,"YES","NO"),"NO")</f>
        <v>NO</v>
      </c>
      <c r="L26" s="3"/>
      <c r="M26" s="6" t="str">
        <f>IF(M24&gt;=M21,IF(M24&lt;=M22,"YES","NO"),"NO")</f>
        <v>NO</v>
      </c>
      <c r="N26" s="3"/>
      <c r="O26" s="3"/>
      <c r="P26" s="3"/>
      <c r="Q26" s="6" t="str">
        <f>IF(Q24&gt;=Q21,IF(Q24&lt;=Q22,"YES","NO"),"NO")</f>
        <v>YES</v>
      </c>
    </row>
    <row r="27" spans="1:17" x14ac:dyDescent="0.2">
      <c r="A27" s="14"/>
      <c r="B27" s="3"/>
      <c r="C27" s="6"/>
      <c r="D27" s="3"/>
      <c r="E27" s="3"/>
      <c r="F27" s="3"/>
      <c r="G27" s="6"/>
      <c r="H27" s="3"/>
      <c r="I27" s="6"/>
      <c r="J27" s="3"/>
      <c r="K27" s="6"/>
      <c r="L27" s="3"/>
      <c r="M27" s="6"/>
      <c r="N27" s="3"/>
      <c r="O27" s="3"/>
      <c r="P27" s="3"/>
      <c r="Q27" s="6"/>
    </row>
    <row r="29" spans="1:17" x14ac:dyDescent="0.2">
      <c r="A29" s="1" t="s">
        <v>6</v>
      </c>
    </row>
    <row r="30" spans="1:17" x14ac:dyDescent="0.2">
      <c r="A30" t="s">
        <v>54</v>
      </c>
      <c r="C30" s="4">
        <f>[1]RESULTS1!$N$100</f>
        <v>6.1370000000000298</v>
      </c>
      <c r="G30">
        <f>[1]RESULTS1!$N$101</f>
        <v>3.915</v>
      </c>
      <c r="I30">
        <f>[1]RESULTS1!$N$102</f>
        <v>3.4169999999999998</v>
      </c>
      <c r="K30">
        <f>[1]RESULTS1!$N$103</f>
        <v>2.129</v>
      </c>
      <c r="M30">
        <f>[1]RESULTS1!$N$104</f>
        <v>5.952</v>
      </c>
      <c r="Q30">
        <f>[1]RESULTS1!$N$105</f>
        <v>4.8159999999999998</v>
      </c>
    </row>
    <row r="31" spans="1:17" x14ac:dyDescent="0.2">
      <c r="A31" t="s">
        <v>55</v>
      </c>
      <c r="C31" s="4">
        <f>[1]RESULTS1!$O$100</f>
        <v>8.4480000000000004</v>
      </c>
      <c r="G31">
        <f>[1]RESULTS1!$O$101</f>
        <v>6.1390000000000002</v>
      </c>
      <c r="I31">
        <f>[1]RESULTS1!$O$102</f>
        <v>5.4820000000000002</v>
      </c>
      <c r="K31">
        <f>[1]RESULTS1!$O$103</f>
        <v>3.7010000000000001</v>
      </c>
      <c r="M31">
        <f>[1]RESULTS1!$O$104</f>
        <v>8.0969999999999995</v>
      </c>
      <c r="Q31">
        <f>[1]RESULTS1!$O$105</f>
        <v>7.0640000000000001</v>
      </c>
    </row>
    <row r="32" spans="1:17" x14ac:dyDescent="0.2">
      <c r="A32" t="s">
        <v>62</v>
      </c>
      <c r="C32" s="4">
        <f>[1]RESULTS1!$P$100</f>
        <v>7.0534545454545485</v>
      </c>
      <c r="G32" s="4">
        <f>[1]RESULTS1!$P$101</f>
        <v>5.1436363636363636</v>
      </c>
      <c r="I32" s="4">
        <f>[1]RESULTS1!$P$102</f>
        <v>4.4157272727272723</v>
      </c>
      <c r="K32" s="17">
        <f>[1]RESULTS1!$P$103</f>
        <v>2.9513000000000003</v>
      </c>
      <c r="M32" s="4">
        <f>[1]RESULTS1!$P$104</f>
        <v>6.7901818181818179</v>
      </c>
      <c r="Q32" s="4">
        <f>[1]RESULTS1!$P$105</f>
        <v>5.7076363636363636</v>
      </c>
    </row>
    <row r="33" spans="1:17" x14ac:dyDescent="0.2">
      <c r="A33" t="s">
        <v>4</v>
      </c>
      <c r="C33" s="4">
        <f>SUM([3]case600!$C$2:$C$8761)/3600/1000000</f>
        <v>6.7403897054987212</v>
      </c>
      <c r="G33" s="4">
        <f>SUM([4]case610!$C$2:$C$8761)/3600/1000000</f>
        <v>4.7464268644566854</v>
      </c>
      <c r="I33" s="4">
        <f>SUM([5]case620!$C$2:$C$8761)/3600/1000000</f>
        <v>4.1676074995693204</v>
      </c>
      <c r="J33" t="s">
        <v>18</v>
      </c>
      <c r="K33" s="4">
        <f>SUM([6]case630!$C$2:$C$8761)/3600/1000000</f>
        <v>2.7803719831226754</v>
      </c>
      <c r="M33" s="4">
        <f>SUM([7]case640!$C$2:$C$8761)/3600/1000000</f>
        <v>6.4538056917777471</v>
      </c>
      <c r="Q33" s="4">
        <f>SUM([8]case650!$C$2:$C$8761)/3600/1000000</f>
        <v>5.3043887047640403</v>
      </c>
    </row>
    <row r="34" spans="1:17" x14ac:dyDescent="0.2">
      <c r="A34" t="s">
        <v>9</v>
      </c>
      <c r="C34" s="5">
        <f>(C33-C32)/C32</f>
        <v>-4.4384611531604105E-2</v>
      </c>
      <c r="G34" s="5">
        <f>(G33-G32)/G32</f>
        <v>-7.7223479868795686E-2</v>
      </c>
      <c r="I34" s="5">
        <f>(I33-I32)/I32</f>
        <v>-5.6190013067701619E-2</v>
      </c>
      <c r="K34" s="5">
        <f>(K33-K32)/K32</f>
        <v>-5.7916178252744491E-2</v>
      </c>
      <c r="M34" s="5">
        <f>(M33-M32)/M32</f>
        <v>-4.9538603738616967E-2</v>
      </c>
      <c r="Q34" s="5">
        <f>(Q33-Q32)/Q32</f>
        <v>-7.0650551853904758E-2</v>
      </c>
    </row>
    <row r="35" spans="1:17" x14ac:dyDescent="0.2">
      <c r="A35" s="14" t="s">
        <v>56</v>
      </c>
      <c r="B35" s="3"/>
      <c r="C35" s="6" t="str">
        <f>IF(C33&gt;=C30,IF(C33&lt;=C31,"YES","NO"),"NO")</f>
        <v>YES</v>
      </c>
      <c r="D35" s="3"/>
      <c r="E35" s="3"/>
      <c r="F35" s="3"/>
      <c r="G35" s="6" t="str">
        <f>IF(G33&gt;=G30,IF(G33&lt;=G31,"YES","NO"),"NO")</f>
        <v>YES</v>
      </c>
      <c r="H35" s="3"/>
      <c r="I35" s="6" t="str">
        <f>IF(I33&gt;=I30,IF(I33&lt;=I31,"YES","NO"),"NO")</f>
        <v>YES</v>
      </c>
      <c r="J35" s="3"/>
      <c r="K35" s="6" t="str">
        <f>IF(K33&gt;=K30,IF(K33&lt;=K31,"YES","NO"),"NO")</f>
        <v>YES</v>
      </c>
      <c r="L35" s="3"/>
      <c r="M35" s="6" t="str">
        <f>IF(M33&gt;=M30,IF(M33&lt;=M31,"YES","NO"),"NO")</f>
        <v>YES</v>
      </c>
      <c r="N35" s="3"/>
      <c r="O35" s="3"/>
      <c r="P35" s="3"/>
      <c r="Q35" s="6" t="str">
        <f>IF(Q33&gt;=Q30,IF(Q33&lt;=Q31,"YES","NO"),"NO")</f>
        <v>YES</v>
      </c>
    </row>
    <row r="36" spans="1:17" x14ac:dyDescent="0.2">
      <c r="A36" s="14"/>
      <c r="B36" s="3"/>
      <c r="C36" s="6"/>
      <c r="D36" s="3"/>
      <c r="E36" s="3"/>
      <c r="F36" s="3"/>
      <c r="G36" s="6"/>
      <c r="H36" s="3"/>
      <c r="I36" s="6"/>
      <c r="J36" s="3"/>
      <c r="K36" s="6"/>
      <c r="L36" s="3"/>
      <c r="M36" s="6"/>
      <c r="N36" s="3"/>
      <c r="O36" s="3"/>
      <c r="P36" s="3"/>
      <c r="Q36" s="6"/>
    </row>
    <row r="38" spans="1:17" x14ac:dyDescent="0.2">
      <c r="A38" s="1" t="s">
        <v>7</v>
      </c>
    </row>
    <row r="39" spans="1:17" x14ac:dyDescent="0.2">
      <c r="A39" t="s">
        <v>54</v>
      </c>
      <c r="C39" s="4">
        <f>[1]RESULTS1!$N$147</f>
        <v>3.4369999999999998</v>
      </c>
      <c r="G39">
        <f>[1]RESULTS1!$N$148</f>
        <v>3.4369999999999998</v>
      </c>
      <c r="I39">
        <f>[1]RESULTS1!$N$149</f>
        <v>3.5910000000000002</v>
      </c>
      <c r="K39">
        <f>[1]RESULTS1!$N$150</f>
        <v>3.5920000000000001</v>
      </c>
      <c r="M39">
        <f>[1]RESULTS1!$N$151</f>
        <v>5.2320000000000002</v>
      </c>
      <c r="Q39">
        <f>[1]RESULTS1!$N$152</f>
        <v>0</v>
      </c>
    </row>
    <row r="40" spans="1:17" x14ac:dyDescent="0.2">
      <c r="A40" t="s">
        <v>55</v>
      </c>
      <c r="C40" s="4">
        <f>[1]RESULTS1!$O$147</f>
        <v>4.3540000000000001</v>
      </c>
      <c r="G40">
        <f>[1]RESULTS1!$O$148</f>
        <v>4.3540000000000001</v>
      </c>
      <c r="I40">
        <f>[1]RESULTS1!$O$149</f>
        <v>4.3789999999999996</v>
      </c>
      <c r="K40">
        <f>[1]RESULTS1!$O$150</f>
        <v>4.28</v>
      </c>
      <c r="M40">
        <f>[1]RESULTS1!$O$151</f>
        <v>6.9539999999999997</v>
      </c>
      <c r="Q40">
        <f>[1]RESULTS1!$O$152</f>
        <v>0</v>
      </c>
    </row>
    <row r="41" spans="1:17" x14ac:dyDescent="0.2">
      <c r="A41" t="s">
        <v>62</v>
      </c>
      <c r="C41" s="17">
        <f>[1]RESULTS1!$P$147</f>
        <v>3.9517555555555552</v>
      </c>
      <c r="G41" s="17">
        <f>[1]RESULTS1!$P$148</f>
        <v>3.9474222222222211</v>
      </c>
      <c r="I41" s="17">
        <f>[1]RESULTS1!$P$149</f>
        <v>3.9981222222222215</v>
      </c>
      <c r="K41" s="17">
        <f>[1]RESULTS1!$P$150</f>
        <v>3.94858024691358</v>
      </c>
      <c r="M41" s="17">
        <f>[1]RESULTS1!$P$151</f>
        <v>5.9027222222222218</v>
      </c>
      <c r="Q41" s="17">
        <f>[1]RESULTS1!$P$152</f>
        <v>0</v>
      </c>
    </row>
    <row r="42" spans="1:17" x14ac:dyDescent="0.2">
      <c r="A42" t="s">
        <v>4</v>
      </c>
      <c r="C42" s="4">
        <f>MAX([3]case600!$B$2:$B$8761)/3600/1000</f>
        <v>3.7500803840701664</v>
      </c>
      <c r="G42" s="4">
        <f>MAX([4]case610!$B$2:$B$8761)/3600/1000</f>
        <v>3.7396061907233333</v>
      </c>
      <c r="I42" s="4">
        <f>MAX([5]case620!$B$2:$B$8761)/3600/1000</f>
        <v>3.7409462317529445</v>
      </c>
      <c r="K42" s="4">
        <f>MAX([6]case630!$B$2:$B$8761)/3600/1000</f>
        <v>3.7206024113968055</v>
      </c>
      <c r="M42" s="4">
        <f>MAX([7]case640!$B$2:$B$8761)/3600/1000</f>
        <v>6.2767966572989717</v>
      </c>
      <c r="Q42" s="4">
        <f>MAX([8]case650!$B$2:$B$8761)/3600/1000</f>
        <v>0</v>
      </c>
    </row>
    <row r="43" spans="1:17" x14ac:dyDescent="0.2">
      <c r="A43" t="s">
        <v>9</v>
      </c>
      <c r="C43" s="5">
        <f>(C42-C41)/C41</f>
        <v>-5.1034323517775489E-2</v>
      </c>
      <c r="G43" s="5">
        <f>(G42-G41)/G41</f>
        <v>-5.2646010434094545E-2</v>
      </c>
      <c r="I43" s="5">
        <f>(I42-I41)/I41</f>
        <v>-6.4324194252954672E-2</v>
      </c>
      <c r="K43" s="5">
        <f>(K42-K41)/K41</f>
        <v>-5.7736660080537586E-2</v>
      </c>
      <c r="M43" s="5">
        <f>(M42-M41)/M41</f>
        <v>6.3373206631417711E-2</v>
      </c>
      <c r="Q43" s="20" t="e">
        <f>(Q42-Q41)/Q41</f>
        <v>#DIV/0!</v>
      </c>
    </row>
    <row r="44" spans="1:17" x14ac:dyDescent="0.2">
      <c r="A44" s="14" t="s">
        <v>56</v>
      </c>
      <c r="C44" s="6" t="str">
        <f>IF(C42&gt;=C39,IF(C42&lt;=C40,"YES","NO"),"NO")</f>
        <v>YES</v>
      </c>
      <c r="G44" s="6" t="str">
        <f>IF(G42&gt;=G39,IF(G42&lt;=G40,"YES","NO"),"NO")</f>
        <v>YES</v>
      </c>
      <c r="I44" s="6" t="str">
        <f>IF(I42&gt;=I39,IF(I42&lt;=I40,"YES","NO"),"NO")</f>
        <v>YES</v>
      </c>
      <c r="K44" s="6" t="str">
        <f>IF(K42&gt;=K39,IF(K42&lt;=K40,"YES","NO"),"NO")</f>
        <v>YES</v>
      </c>
      <c r="M44" s="6" t="str">
        <f>IF(M42&gt;=M39,IF(M42&lt;=M40,"YES","NO"),"NO")</f>
        <v>YES</v>
      </c>
      <c r="Q44" s="6" t="str">
        <f>IF(Q42&gt;=Q39,IF(Q42&lt;=Q40,"YES","NO"),"NO")</f>
        <v>YES</v>
      </c>
    </row>
    <row r="45" spans="1:17" x14ac:dyDescent="0.2">
      <c r="A45" s="14"/>
      <c r="C45" s="6"/>
      <c r="G45" s="6"/>
      <c r="I45" s="6"/>
      <c r="K45" s="6"/>
      <c r="M45" s="6"/>
      <c r="Q45" s="6"/>
    </row>
    <row r="47" spans="1:17" x14ac:dyDescent="0.2">
      <c r="A47" s="1" t="s">
        <v>8</v>
      </c>
    </row>
    <row r="48" spans="1:17" x14ac:dyDescent="0.2">
      <c r="A48" t="s">
        <v>54</v>
      </c>
      <c r="C48" s="4">
        <f>[1]RESULTS1!$N$193</f>
        <v>5.9649999999999999</v>
      </c>
      <c r="G48">
        <f>[1]RESULTS1!$N$194</f>
        <v>5.6689999999999996</v>
      </c>
      <c r="I48">
        <f>[1]RESULTS1!$N$195</f>
        <v>3.6339999999999999</v>
      </c>
      <c r="K48">
        <f>[1]RESULTS1!$N$196</f>
        <v>3.0720000000000001</v>
      </c>
      <c r="M48">
        <f>[1]RESULTS1!$N$197</f>
        <v>5.8840000000000003</v>
      </c>
      <c r="Q48">
        <f>[1]RESULTS1!$N$198</f>
        <v>5.8310000000000004</v>
      </c>
    </row>
    <row r="49" spans="1:17" x14ac:dyDescent="0.2">
      <c r="A49" t="s">
        <v>55</v>
      </c>
      <c r="C49" s="17">
        <f>[1]RESULTS1!$O$193</f>
        <v>7.1879999999999997</v>
      </c>
      <c r="G49" s="15">
        <f>[1]RESULTS1!$O$194</f>
        <v>6.673</v>
      </c>
      <c r="I49" s="15">
        <f>[1]RESULTS1!$O$195</f>
        <v>5.0960000000000001</v>
      </c>
      <c r="K49" s="15">
        <f>[1]RESULTS1!$O$196</f>
        <v>4.1159999999999997</v>
      </c>
      <c r="M49" s="15">
        <f>[1]RESULTS1!$O$197</f>
        <v>7.1260000000000003</v>
      </c>
      <c r="Q49" s="15">
        <f>[1]RESULTS1!$O$198</f>
        <v>7.0679999999999996</v>
      </c>
    </row>
    <row r="50" spans="1:17" x14ac:dyDescent="0.2">
      <c r="A50" t="s">
        <v>62</v>
      </c>
      <c r="C50" s="17">
        <f>[1]RESULTS1!$P$193</f>
        <v>6.5346111111111096</v>
      </c>
      <c r="G50" s="17">
        <f>[1]RESULTS1!$P$194</f>
        <v>6.0901000000000005</v>
      </c>
      <c r="I50" s="18">
        <f>[1]RESULTS1!$P$195</f>
        <v>4.3933999999999997</v>
      </c>
      <c r="K50" s="17">
        <f>[1]RESULTS1!$P$196</f>
        <v>3.6881481481481475</v>
      </c>
      <c r="M50" s="17">
        <f>[1]RESULTS1!$P$197</f>
        <v>6.478066666666666</v>
      </c>
      <c r="Q50" s="17">
        <f>[1]RESULTS1!$P$198</f>
        <v>6.4041777777777771</v>
      </c>
    </row>
    <row r="51" spans="1:17" x14ac:dyDescent="0.2">
      <c r="A51" t="s">
        <v>4</v>
      </c>
      <c r="C51" s="4">
        <f>MAX([3]case600!$C$2:$C$8761)/3600/1000</f>
        <v>6.5654637193002214</v>
      </c>
      <c r="G51" s="4">
        <f>MAX([4]case610!$C$2:$C$8761)/3600/1000</f>
        <v>6.1644833817656108</v>
      </c>
      <c r="I51" s="4">
        <f>MAX([5]case620!$C$2:$C$8761)/3600/1000</f>
        <v>3.920638148063333</v>
      </c>
      <c r="K51" s="4">
        <f>MAX([6]case630!$C$2:$C$8761)/3600/1000</f>
        <v>3.3760970726459441</v>
      </c>
      <c r="M51" s="4">
        <f>MAX([7]case640!$C$2:$C$8761)/3600/1000</f>
        <v>6.5011509625394446</v>
      </c>
      <c r="Q51" s="4">
        <f>MAX([8]case650!$C$2:$C$8761)/3600/1000</f>
        <v>6.3727332740929157</v>
      </c>
    </row>
    <row r="52" spans="1:17" x14ac:dyDescent="0.2">
      <c r="A52" t="s">
        <v>9</v>
      </c>
      <c r="C52" s="5">
        <f>(C51-C50)/C50</f>
        <v>4.7214145822161756E-3</v>
      </c>
      <c r="G52" s="5">
        <f>(G51-G50)/G50</f>
        <v>1.2213819439025685E-2</v>
      </c>
      <c r="I52" s="5">
        <f>(I51-I50)/I50</f>
        <v>-0.1076072863697061</v>
      </c>
      <c r="K52" s="5">
        <f>(K51-K50)/K50</f>
        <v>-8.4609148810599472E-2</v>
      </c>
      <c r="M52" s="5">
        <f>(M51-M50)/M50</f>
        <v>3.5634545089757138E-3</v>
      </c>
      <c r="Q52" s="5">
        <f>(Q51-Q50)/Q50</f>
        <v>-4.909998562808872E-3</v>
      </c>
    </row>
    <row r="53" spans="1:17" x14ac:dyDescent="0.2">
      <c r="A53" s="14" t="s">
        <v>56</v>
      </c>
      <c r="C53" s="6" t="str">
        <f>IF(C51&gt;=C48,IF(C51&lt;=C49,"YES","NO"),"NO")</f>
        <v>YES</v>
      </c>
      <c r="G53" s="6" t="str">
        <f>IF(G51&gt;=G48,IF(G51&lt;=G49,"YES","NO"),"NO")</f>
        <v>YES</v>
      </c>
      <c r="I53" s="6" t="str">
        <f>IF(I51&gt;=I48,IF(I51&lt;=I49,"YES","NO"),"NO")</f>
        <v>YES</v>
      </c>
      <c r="K53" s="6" t="str">
        <f>IF(K51&gt;=K48,IF(K51&lt;=K49,"YES","NO"),"NO")</f>
        <v>YES</v>
      </c>
      <c r="M53" s="6" t="str">
        <f>IF(M51&gt;=M48,IF(M51&lt;=M49,"YES","NO"),"NO")</f>
        <v>YES</v>
      </c>
      <c r="Q53" s="6" t="str">
        <f>IF(Q51&gt;=Q48,IF(Q51&lt;=Q49,"YES","NO"),"NO")</f>
        <v>YES</v>
      </c>
    </row>
    <row r="54" spans="1:17" x14ac:dyDescent="0.2">
      <c r="C54"/>
    </row>
  </sheetData>
  <phoneticPr fontId="0" type="noConversion"/>
  <pageMargins left="0.25" right="0" top="0.25" bottom="0.25" header="0.5" footer="0.2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>
      <selection activeCell="K25" sqref="K25"/>
    </sheetView>
  </sheetViews>
  <sheetFormatPr defaultRowHeight="12.75" x14ac:dyDescent="0.2"/>
  <cols>
    <col min="1" max="1" width="13.140625" customWidth="1"/>
    <col min="2" max="2" width="10" customWidth="1"/>
    <col min="3" max="3" width="9.140625" style="4"/>
    <col min="5" max="5" width="8.42578125" customWidth="1"/>
    <col min="6" max="6" width="3.5703125" customWidth="1"/>
    <col min="8" max="8" width="18.42578125" customWidth="1"/>
    <col min="9" max="9" width="10" bestFit="1" customWidth="1"/>
    <col min="10" max="10" width="22.140625" customWidth="1"/>
    <col min="12" max="12" width="16.7109375" customWidth="1"/>
    <col min="15" max="15" width="5.5703125" customWidth="1"/>
    <col min="18" max="18" width="6.140625" customWidth="1"/>
    <col min="19" max="19" width="10" customWidth="1"/>
    <col min="22" max="22" width="11.7109375" customWidth="1"/>
    <col min="23" max="23" width="2.42578125" customWidth="1"/>
    <col min="24" max="27" width="11.7109375" customWidth="1"/>
    <col min="28" max="28" width="2.5703125" customWidth="1"/>
    <col min="29" max="32" width="11.7109375" customWidth="1"/>
  </cols>
  <sheetData>
    <row r="1" spans="1:19" ht="18" x14ac:dyDescent="0.25">
      <c r="A1" s="2" t="s">
        <v>268</v>
      </c>
    </row>
    <row r="2" spans="1:19" ht="15" x14ac:dyDescent="0.25">
      <c r="A2" s="12" t="s">
        <v>269</v>
      </c>
    </row>
    <row r="4" spans="1:19" x14ac:dyDescent="0.2">
      <c r="A4" s="1" t="s">
        <v>123</v>
      </c>
      <c r="C4"/>
    </row>
    <row r="5" spans="1:19" x14ac:dyDescent="0.2">
      <c r="A5" s="1" t="s">
        <v>70</v>
      </c>
      <c r="C5"/>
    </row>
    <row r="6" spans="1:19" x14ac:dyDescent="0.2">
      <c r="C6"/>
    </row>
    <row r="7" spans="1:19" x14ac:dyDescent="0.2">
      <c r="C7"/>
    </row>
    <row r="8" spans="1:19" ht="15" x14ac:dyDescent="0.25">
      <c r="A8" s="12"/>
      <c r="C8"/>
    </row>
    <row r="9" spans="1:19" ht="15" x14ac:dyDescent="0.25">
      <c r="A9" s="12" t="s">
        <v>45</v>
      </c>
      <c r="C9"/>
    </row>
    <row r="10" spans="1:19" x14ac:dyDescent="0.2">
      <c r="D10" s="3"/>
    </row>
    <row r="11" spans="1:19" x14ac:dyDescent="0.2">
      <c r="A11" s="1" t="s">
        <v>10</v>
      </c>
      <c r="C11" s="11">
        <v>900</v>
      </c>
      <c r="D11" s="3"/>
      <c r="G11" s="10">
        <v>910</v>
      </c>
      <c r="H11" s="1"/>
      <c r="I11" s="10">
        <v>920</v>
      </c>
      <c r="J11" s="1"/>
      <c r="K11" s="10">
        <v>930</v>
      </c>
      <c r="M11" s="10">
        <v>940</v>
      </c>
      <c r="P11" s="10">
        <v>960</v>
      </c>
      <c r="S11" s="10">
        <v>950</v>
      </c>
    </row>
    <row r="12" spans="1:19" x14ac:dyDescent="0.2">
      <c r="G12" s="1"/>
      <c r="H12" s="1"/>
      <c r="I12" s="1"/>
      <c r="J12" s="1"/>
      <c r="K12" s="1"/>
      <c r="M12" s="1"/>
      <c r="P12" s="1"/>
      <c r="S12" s="1"/>
    </row>
    <row r="13" spans="1:19" x14ac:dyDescent="0.2">
      <c r="A13" s="1" t="s">
        <v>0</v>
      </c>
      <c r="C13" s="8" t="s">
        <v>12</v>
      </c>
      <c r="G13" s="1" t="s">
        <v>19</v>
      </c>
      <c r="H13" s="1"/>
      <c r="I13" s="1" t="s">
        <v>30</v>
      </c>
      <c r="J13" s="1"/>
      <c r="K13" s="1" t="s">
        <v>31</v>
      </c>
      <c r="M13" s="1" t="s">
        <v>36</v>
      </c>
      <c r="P13" s="1" t="s">
        <v>57</v>
      </c>
      <c r="S13" s="1" t="s">
        <v>63</v>
      </c>
    </row>
    <row r="14" spans="1:19" x14ac:dyDescent="0.2">
      <c r="C14" s="4" t="s">
        <v>13</v>
      </c>
      <c r="G14" t="s">
        <v>42</v>
      </c>
      <c r="I14" s="4" t="s">
        <v>29</v>
      </c>
      <c r="K14" t="s">
        <v>43</v>
      </c>
      <c r="M14" t="s">
        <v>44</v>
      </c>
      <c r="P14" t="s">
        <v>58</v>
      </c>
      <c r="S14" t="s">
        <v>44</v>
      </c>
    </row>
    <row r="15" spans="1:19" x14ac:dyDescent="0.2">
      <c r="C15" s="4" t="s">
        <v>15</v>
      </c>
      <c r="G15" t="s">
        <v>20</v>
      </c>
      <c r="I15" s="4" t="s">
        <v>15</v>
      </c>
      <c r="K15" t="s">
        <v>33</v>
      </c>
      <c r="M15" t="s">
        <v>38</v>
      </c>
      <c r="P15" t="s">
        <v>59</v>
      </c>
      <c r="S15" t="s">
        <v>66</v>
      </c>
    </row>
    <row r="16" spans="1:19" x14ac:dyDescent="0.2">
      <c r="C16" s="4" t="s">
        <v>16</v>
      </c>
      <c r="I16" s="4" t="s">
        <v>16</v>
      </c>
      <c r="K16" t="s">
        <v>34</v>
      </c>
      <c r="M16" t="s">
        <v>39</v>
      </c>
      <c r="P16" t="s">
        <v>60</v>
      </c>
      <c r="S16" t="s">
        <v>64</v>
      </c>
    </row>
    <row r="17" spans="1:19" x14ac:dyDescent="0.2">
      <c r="C17" s="4" t="s">
        <v>14</v>
      </c>
      <c r="I17" s="4" t="s">
        <v>14</v>
      </c>
      <c r="K17" t="s">
        <v>35</v>
      </c>
      <c r="M17" t="s">
        <v>40</v>
      </c>
      <c r="P17" t="s">
        <v>61</v>
      </c>
      <c r="S17" t="s">
        <v>65</v>
      </c>
    </row>
    <row r="18" spans="1:19" x14ac:dyDescent="0.2">
      <c r="C18" s="8" t="s">
        <v>18</v>
      </c>
      <c r="M18" t="s">
        <v>41</v>
      </c>
      <c r="P18" t="s">
        <v>18</v>
      </c>
      <c r="S18" t="s">
        <v>18</v>
      </c>
    </row>
    <row r="19" spans="1:19" x14ac:dyDescent="0.2">
      <c r="C19" s="8" t="s">
        <v>18</v>
      </c>
    </row>
    <row r="20" spans="1:19" x14ac:dyDescent="0.2">
      <c r="A20" s="1" t="s">
        <v>5</v>
      </c>
    </row>
    <row r="21" spans="1:19" x14ac:dyDescent="0.2">
      <c r="A21" t="s">
        <v>54</v>
      </c>
      <c r="C21" s="4">
        <f>[1]RESULTS1!$N$63</f>
        <v>1.17</v>
      </c>
      <c r="G21">
        <f>[1]RESULTS1!$N$64</f>
        <v>1.512</v>
      </c>
      <c r="I21">
        <f>[1]RESULTS1!$N$65</f>
        <v>3.2610000000000001</v>
      </c>
      <c r="K21">
        <f>[1]RESULTS1!$N$66</f>
        <v>4.1429999999999998</v>
      </c>
      <c r="M21">
        <f>[1]RESULTS1!$N$67</f>
        <v>0.79300000000000004</v>
      </c>
      <c r="P21">
        <f>[1]RESULTS1!$N$69</f>
        <v>2.1440000000000001</v>
      </c>
      <c r="S21">
        <f>[1]RESULTS1!$N$68</f>
        <v>0</v>
      </c>
    </row>
    <row r="22" spans="1:19" x14ac:dyDescent="0.2">
      <c r="A22" t="s">
        <v>55</v>
      </c>
      <c r="C22" s="4">
        <f>[1]RESULTS1!$O$63</f>
        <v>2.0409999999999999</v>
      </c>
      <c r="G22">
        <f>[1]RESULTS1!$O$64</f>
        <v>2.282</v>
      </c>
      <c r="I22" s="4">
        <f>[1]RESULTS1!$O$65</f>
        <v>4.3</v>
      </c>
      <c r="K22">
        <f>[1]RESULTS1!$O$66</f>
        <v>5.335</v>
      </c>
      <c r="M22">
        <f>[1]RESULTS1!$O$67</f>
        <v>1.411</v>
      </c>
      <c r="P22">
        <f>[1]RESULTS1!$O$69</f>
        <v>3.3730000000000002</v>
      </c>
      <c r="S22">
        <f>[1]RESULTS1!$O$68</f>
        <v>7.8010000000000004E-6</v>
      </c>
    </row>
    <row r="23" spans="1:19" x14ac:dyDescent="0.2">
      <c r="A23" t="s">
        <v>62</v>
      </c>
      <c r="C23" s="4">
        <f>[1]RESULTS1!$P$63</f>
        <v>1.6489090909090911</v>
      </c>
      <c r="G23" s="4">
        <f>[1]RESULTS1!$P$64</f>
        <v>1.951090909090909</v>
      </c>
      <c r="I23" s="4">
        <f>[1]RESULTS1!$P$65</f>
        <v>3.8280000000000003</v>
      </c>
      <c r="K23" s="17">
        <f>[1]RESULTS1!$P$66</f>
        <v>4.6032000000000002</v>
      </c>
      <c r="M23" s="4">
        <f>[1]RESULTS1!$P$67</f>
        <v>1.0857272727272729</v>
      </c>
      <c r="P23" s="4">
        <f>[1]RESULTS1!$P$69</f>
        <v>2.708636363636364</v>
      </c>
      <c r="S23" s="4">
        <f>[1]RESULTS1!$P$68</f>
        <v>7.091818181818182E-7</v>
      </c>
    </row>
    <row r="24" spans="1:19" x14ac:dyDescent="0.2">
      <c r="A24" t="s">
        <v>4</v>
      </c>
      <c r="C24" s="4">
        <f>SUM([9]case900!$B$2:$B$8761)/3600/1000000</f>
        <v>1.2237064855787012</v>
      </c>
      <c r="G24" s="4">
        <f>SUM([10]case910!$B$2:$B$8761)/3600/1000000</f>
        <v>1.5058206356438613</v>
      </c>
      <c r="I24" s="4">
        <f>SUM([11]case920!$B$2:$B$8761)/3600/1000000</f>
        <v>3.1930816554431765</v>
      </c>
      <c r="K24" s="4">
        <f>SUM([12]case930!$B$2:$B$8761)/3600/1000000</f>
        <v>3.9061957698822609</v>
      </c>
      <c r="M24" s="4">
        <f>SUM([13]case940!$B$2:$B$8761)/3600/1000000</f>
        <v>0.76810017668157116</v>
      </c>
      <c r="P24" s="4">
        <f>SUM([14]case960!$B$2:$B$8761)/3600/1000000</f>
        <v>2.408270808653183</v>
      </c>
      <c r="S24" s="4">
        <f>SUM([15]case950!$B$2:$B$8761)/3600/1000000</f>
        <v>0</v>
      </c>
    </row>
    <row r="25" spans="1:19" x14ac:dyDescent="0.2">
      <c r="A25" t="s">
        <v>9</v>
      </c>
      <c r="C25" s="5">
        <f>(C24-C23)/C23</f>
        <v>-0.25786904061276261</v>
      </c>
      <c r="G25" s="5">
        <f>(G24-G23)/G23</f>
        <v>-0.22821605665443692</v>
      </c>
      <c r="I25" s="5">
        <f>(I24-I23)/I23</f>
        <v>-0.16586163650909713</v>
      </c>
      <c r="K25" s="5">
        <f>(K24-K23)/K23</f>
        <v>-0.15141732492999202</v>
      </c>
      <c r="M25" s="5">
        <f>(M24-M23)/M23</f>
        <v>-0.29254777329839393</v>
      </c>
      <c r="P25" s="5">
        <f>(P24-P23)/P23</f>
        <v>-0.11089179744302702</v>
      </c>
      <c r="S25" s="5">
        <f>(S24-S23)/S23</f>
        <v>-1</v>
      </c>
    </row>
    <row r="26" spans="1:19" x14ac:dyDescent="0.2">
      <c r="A26" s="14" t="s">
        <v>56</v>
      </c>
      <c r="C26" s="6" t="str">
        <f>IF(C24&gt;=C21,IF(C24&lt;=C22,"YES","NO"),"NO")</f>
        <v>YES</v>
      </c>
      <c r="G26" s="6" t="str">
        <f>IF(G24&gt;=G21,IF(G24&lt;=G22,"YES","NO"),"NO")</f>
        <v>NO</v>
      </c>
      <c r="I26" s="6" t="str">
        <f>IF(I24&gt;=I21,IF(I24&lt;=I22,"YES","NO"),"NO")</f>
        <v>NO</v>
      </c>
      <c r="K26" s="6" t="str">
        <f>IF(K24&gt;=K21,IF(K24&lt;=K22,"YES","NO"),"NO")</f>
        <v>NO</v>
      </c>
      <c r="M26" s="6" t="str">
        <f>IF(M24&gt;=M21,IF(M24&lt;=M22,"YES","NO"),"NO")</f>
        <v>NO</v>
      </c>
      <c r="P26" s="6" t="str">
        <f>IF(P24&gt;=P21,IF(P24&lt;=P22,"YES","NO"),"NO")</f>
        <v>YES</v>
      </c>
      <c r="S26" s="6" t="str">
        <f>IF(S24&gt;=S21,IF(S24&lt;=S22,"YES","NO"),"NO")</f>
        <v>YES</v>
      </c>
    </row>
    <row r="29" spans="1:19" x14ac:dyDescent="0.2">
      <c r="A29" s="1" t="s">
        <v>6</v>
      </c>
    </row>
    <row r="30" spans="1:19" x14ac:dyDescent="0.2">
      <c r="A30" t="s">
        <v>54</v>
      </c>
      <c r="C30" s="4">
        <f>[1]RESULTS1!$N$108</f>
        <v>2.1320000000000001</v>
      </c>
      <c r="G30">
        <f>[1]RESULTS1!$N$109</f>
        <v>0.82099999999999995</v>
      </c>
      <c r="I30" s="4">
        <f>[1]RESULTS1!$N$110</f>
        <v>1.84</v>
      </c>
      <c r="K30">
        <f>[1]RESULTS1!$N$111</f>
        <v>1.0389999999999999</v>
      </c>
      <c r="M30">
        <f>[1]RESULTS1!$N$112</f>
        <v>2.0790000000000002</v>
      </c>
      <c r="P30">
        <f>[1]RESULTS1!$N$114</f>
        <v>0.4113</v>
      </c>
      <c r="S30">
        <f>[1]RESULTS1!$N$113</f>
        <v>0.38700000000000001</v>
      </c>
    </row>
    <row r="31" spans="1:19" x14ac:dyDescent="0.2">
      <c r="A31" t="s">
        <v>55</v>
      </c>
      <c r="C31" s="4">
        <f>[1]RESULTS1!$O$108</f>
        <v>3.669</v>
      </c>
      <c r="G31">
        <f>[1]RESULTS1!$O$109</f>
        <v>1.883</v>
      </c>
      <c r="I31">
        <f>[1]RESULTS1!$O$110</f>
        <v>3.3130000000000002</v>
      </c>
      <c r="K31">
        <f>[1]RESULTS1!$O$111</f>
        <v>2.238</v>
      </c>
      <c r="M31">
        <f>[1]RESULTS1!$O$112</f>
        <v>3.5459999999999998</v>
      </c>
      <c r="P31">
        <f>[1]RESULTS1!$O$114</f>
        <v>0.89500000000000002</v>
      </c>
      <c r="S31">
        <f>[1]RESULTS1!$O$113</f>
        <v>0.92100000000000004</v>
      </c>
    </row>
    <row r="32" spans="1:19" x14ac:dyDescent="0.2">
      <c r="A32" t="s">
        <v>62</v>
      </c>
      <c r="C32" s="4">
        <f>[1]RESULTS1!$P$108</f>
        <v>2.8257272727272724</v>
      </c>
      <c r="G32" s="4">
        <f>[1]RESULTS1!$P$109</f>
        <v>1.5211818181818182</v>
      </c>
      <c r="I32" s="4">
        <f>[1]RESULTS1!$P$110</f>
        <v>2.6836363636363636</v>
      </c>
      <c r="K32" s="17">
        <f>[1]RESULTS1!$P$111</f>
        <v>1.7152999999999998</v>
      </c>
      <c r="M32" s="4">
        <f>[1]RESULTS1!$P$112</f>
        <v>2.7249090909090907</v>
      </c>
      <c r="P32" s="4">
        <f>[1]RESULTS1!$P$114</f>
        <v>0.66902727272727269</v>
      </c>
      <c r="S32" s="4">
        <f>[1]RESULTS1!$P$113</f>
        <v>0.63476363636363642</v>
      </c>
    </row>
    <row r="33" spans="1:19" x14ac:dyDescent="0.2">
      <c r="A33" t="s">
        <v>4</v>
      </c>
      <c r="C33" s="4">
        <f>SUM([9]case900!$C$2:$C$8761)/3600/1000000</f>
        <v>2.5076520639344002</v>
      </c>
      <c r="G33" s="4">
        <f>SUM([10]case910!$C$2:$C$8761)/3600/1000000</f>
        <v>1.2347752524879096</v>
      </c>
      <c r="I33" s="4">
        <f>SUM([11]case920!$C$2:$C$8761)/3600/1000000</f>
        <v>2.5484582767623656</v>
      </c>
      <c r="J33" t="s">
        <v>18</v>
      </c>
      <c r="K33" s="4">
        <f>SUM([12]case930!$C$2:$C$8761)/3600/1000000</f>
        <v>1.6378051895516283</v>
      </c>
      <c r="M33" s="4">
        <f>SUM([13]case940!$C$2:$C$8761)/3600/1000000</f>
        <v>2.4333206774971448</v>
      </c>
      <c r="P33" s="4">
        <f>SUM([14]case960!$C$2:$C$8761)/3600/1000000</f>
        <v>0.63954037160890342</v>
      </c>
      <c r="S33" s="4">
        <f>SUM([15]case950!$C$2:$C$8761)/3600/1000000</f>
        <v>0.52979569095833057</v>
      </c>
    </row>
    <row r="34" spans="1:19" x14ac:dyDescent="0.2">
      <c r="A34" t="s">
        <v>9</v>
      </c>
      <c r="C34" s="5">
        <f>(C33-C32)/C32</f>
        <v>-0.11256401559442765</v>
      </c>
      <c r="G34" s="5">
        <f>(G33-G32)/G32</f>
        <v>-0.18827898300561727</v>
      </c>
      <c r="I34" s="5">
        <f>(I33-I32)/I32</f>
        <v>-5.0371238333806849E-2</v>
      </c>
      <c r="K34" s="5">
        <f>(K33-K32)/K32</f>
        <v>-4.5178575437749363E-2</v>
      </c>
      <c r="M34" s="5">
        <f>(M33-M32)/M32</f>
        <v>-0.10700849227768752</v>
      </c>
      <c r="P34" s="5">
        <f>(P33-P32)/P32</f>
        <v>-4.4074288628274699E-2</v>
      </c>
      <c r="S34" s="5">
        <f>(S33-S32)/S32</f>
        <v>-0.16536540436789129</v>
      </c>
    </row>
    <row r="35" spans="1:19" x14ac:dyDescent="0.2">
      <c r="A35" s="14" t="s">
        <v>56</v>
      </c>
      <c r="C35" s="6" t="str">
        <f>IF(C33&gt;=C30,IF(C33&lt;=C31,"YES","NO"),"NO")</f>
        <v>YES</v>
      </c>
      <c r="G35" s="6" t="str">
        <f>IF(G33&gt;=G30,IF(G33&lt;=G31,"YES","NO"),"NO")</f>
        <v>YES</v>
      </c>
      <c r="I35" s="6" t="str">
        <f>IF(I33&gt;=I30,IF(I33&lt;=I31,"YES","NO"),"NO")</f>
        <v>YES</v>
      </c>
      <c r="K35" s="6" t="str">
        <f>IF(K33&gt;=K30,IF(K33&lt;=K31,"YES","NO"),"NO")</f>
        <v>YES</v>
      </c>
      <c r="M35" s="6" t="str">
        <f>IF(M33&gt;=M30,IF(M33&lt;=M31,"YES","NO"),"NO")</f>
        <v>YES</v>
      </c>
      <c r="P35" s="6" t="str">
        <f>IF(P33&gt;=P30,IF(P33&lt;=P31,"YES","NO"),"NO")</f>
        <v>YES</v>
      </c>
      <c r="S35" s="6" t="str">
        <f>IF(S33&gt;=S30,IF(S33&lt;=S31,"YES","NO"),"NO")</f>
        <v>YES</v>
      </c>
    </row>
    <row r="38" spans="1:19" x14ac:dyDescent="0.2">
      <c r="A38" s="1" t="s">
        <v>7</v>
      </c>
    </row>
    <row r="39" spans="1:19" x14ac:dyDescent="0.2">
      <c r="A39" t="s">
        <v>54</v>
      </c>
      <c r="C39" s="4">
        <f>[1]RESULTS1!$N$156</f>
        <v>2.85</v>
      </c>
      <c r="G39">
        <f>[1]RESULTS1!$N$157</f>
        <v>2.8580000000000001</v>
      </c>
      <c r="I39">
        <f>[1]RESULTS1!$N$158</f>
        <v>3.3079999999999998</v>
      </c>
      <c r="K39">
        <f>[1]RESULTS1!$N$159</f>
        <v>3.355</v>
      </c>
      <c r="M39" s="4">
        <f>[1]RESULTS1!$N$160</f>
        <v>3.98</v>
      </c>
      <c r="P39" s="4">
        <f>[1]RESULTS1!$N$162</f>
        <v>2.41</v>
      </c>
      <c r="S39" s="4">
        <f>[1]RESULTS1!$N$161</f>
        <v>0</v>
      </c>
    </row>
    <row r="40" spans="1:19" x14ac:dyDescent="0.2">
      <c r="A40" t="s">
        <v>55</v>
      </c>
      <c r="C40" s="4">
        <f>[1]RESULTS1!$O$156</f>
        <v>3.7970000000000002</v>
      </c>
      <c r="G40">
        <f>[1]RESULTS1!$O$157</f>
        <v>3.8010000000000002</v>
      </c>
      <c r="I40">
        <f>[1]RESULTS1!$O$158</f>
        <v>4.0609999999999999</v>
      </c>
      <c r="K40">
        <f>[1]RESULTS1!$O$159</f>
        <v>4.0640000000000001</v>
      </c>
      <c r="M40">
        <f>[1]RESULTS1!$O$160</f>
        <v>6.4279999999999999</v>
      </c>
      <c r="P40">
        <f>[1]RESULTS1!$O$162</f>
        <v>2.863</v>
      </c>
      <c r="S40">
        <f>[1]RESULTS1!$O$161</f>
        <v>0</v>
      </c>
    </row>
    <row r="41" spans="1:19" x14ac:dyDescent="0.2">
      <c r="A41" t="s">
        <v>62</v>
      </c>
      <c r="C41" s="17">
        <f>[1]RESULTS1!$P$156</f>
        <v>3.4518666666666666</v>
      </c>
      <c r="G41" s="17">
        <f>[1]RESULTS1!$P$157</f>
        <v>3.4592111111111108</v>
      </c>
      <c r="I41" s="17">
        <f>[1]RESULTS1!$P$158</f>
        <v>3.7375333333333329</v>
      </c>
      <c r="K41" s="17">
        <f>[1]RESULTS1!$P$159</f>
        <v>3.7333827160493822</v>
      </c>
      <c r="M41" s="17">
        <f>[1]RESULTS1!$P$160</f>
        <v>5.4144222222222211</v>
      </c>
      <c r="P41" s="17">
        <f>[1]RESULTS1!$P$162</f>
        <v>2.6859999999999999</v>
      </c>
      <c r="S41" s="17">
        <f>[1]RESULTS1!$P$161</f>
        <v>0</v>
      </c>
    </row>
    <row r="42" spans="1:19" x14ac:dyDescent="0.2">
      <c r="A42" t="s">
        <v>4</v>
      </c>
      <c r="C42" s="4">
        <f>MAX([9]case900!$B$2:$B$8761)/3600/1000</f>
        <v>3.1721787355460278</v>
      </c>
      <c r="G42" s="4">
        <f>MAX([10]case910!$B$2:$B$8761)/3600/1000</f>
        <v>3.1717931132370554</v>
      </c>
      <c r="I42" s="4">
        <f>MAX([11]case920!$B$2:$B$8761)/3600/1000</f>
        <v>3.4830364954725002</v>
      </c>
      <c r="K42" s="4">
        <f>MAX([12]case930!$B$2:$B$8761)/3600/1000</f>
        <v>3.5064664383246944</v>
      </c>
      <c r="M42" s="4">
        <f>MAX([13]case940!$B$2:$B$8761)/3600/1000</f>
        <v>4.8154909324634732</v>
      </c>
      <c r="P42" s="4">
        <f>MAX([14]case960!$B$2:$B$8761)/3600/1000</f>
        <v>2.6925783125225693</v>
      </c>
      <c r="S42" s="4">
        <f>MAX([15]case950!$B$2:$B$8761)/3600/1000</f>
        <v>0</v>
      </c>
    </row>
    <row r="43" spans="1:19" x14ac:dyDescent="0.2">
      <c r="A43" t="s">
        <v>9</v>
      </c>
      <c r="C43" s="5">
        <f>(C42-C41)/C41</f>
        <v>-8.1025125860589103E-2</v>
      </c>
      <c r="G43" s="5">
        <f>(G42-G41)/G41</f>
        <v>-8.3087729728566859E-2</v>
      </c>
      <c r="I43" s="5">
        <f>(I42-I41)/I41</f>
        <v>-6.8092192139423358E-2</v>
      </c>
      <c r="K43" s="5">
        <f>(K42-K41)/K41</f>
        <v>-6.0780341846337071E-2</v>
      </c>
      <c r="M43" s="5">
        <f>(M42-M41)/M41</f>
        <v>-0.11061776588101599</v>
      </c>
      <c r="P43" s="5">
        <f>(P42-P41)/P41</f>
        <v>2.4491111401970782E-3</v>
      </c>
      <c r="S43" s="5" t="e">
        <f>(S42-S41)/S41</f>
        <v>#DIV/0!</v>
      </c>
    </row>
    <row r="44" spans="1:19" x14ac:dyDescent="0.2">
      <c r="A44" s="14" t="s">
        <v>56</v>
      </c>
      <c r="C44" s="6" t="str">
        <f>IF(C42&gt;=C39,IF(C42&lt;=C40,"YES","NO"),"NO")</f>
        <v>YES</v>
      </c>
      <c r="G44" s="6" t="str">
        <f>IF(G42&gt;=G39,IF(G42&lt;=G40,"YES","NO"),"NO")</f>
        <v>YES</v>
      </c>
      <c r="I44" s="6" t="str">
        <f>IF(I42&gt;=I39,IF(I42&lt;=I40,"YES","NO"),"NO")</f>
        <v>YES</v>
      </c>
      <c r="K44" s="6" t="str">
        <f>IF(K42&gt;=K39,IF(K42&lt;=K40,"YES","NO"),"NO")</f>
        <v>YES</v>
      </c>
      <c r="M44" s="6" t="str">
        <f>IF(M42&gt;=M39,IF(M42&lt;=M40,"YES","NO"),"NO")</f>
        <v>YES</v>
      </c>
      <c r="P44" s="6" t="str">
        <f>IF(P42&gt;=P39,IF(P42&lt;=P40,"YES","NO"),"NO")</f>
        <v>YES</v>
      </c>
      <c r="S44" s="6" t="str">
        <f>IF(S42&gt;=S39,IF(S42&lt;=S40,"YES","NO"),"NO")</f>
        <v>YES</v>
      </c>
    </row>
    <row r="47" spans="1:19" x14ac:dyDescent="0.2">
      <c r="A47" s="1" t="s">
        <v>8</v>
      </c>
    </row>
    <row r="48" spans="1:19" x14ac:dyDescent="0.2">
      <c r="A48" t="s">
        <v>54</v>
      </c>
      <c r="C48" s="4">
        <f>[1]RESULTS1!$N$202</f>
        <v>2.8879999999999999</v>
      </c>
      <c r="G48">
        <f>[1]RESULTS1!$N$203</f>
        <v>1.8959999999999999</v>
      </c>
      <c r="I48">
        <f>[1]RESULTS1!$N$204</f>
        <v>2.3849999999999998</v>
      </c>
      <c r="K48">
        <f>[1]RESULTS1!$N$205</f>
        <v>1.873</v>
      </c>
      <c r="M48">
        <f>[1]RESULTS1!$N$206</f>
        <v>2.8879999999999999</v>
      </c>
      <c r="P48">
        <f>[1]RESULTS1!$N$208</f>
        <v>0.95299999999999996</v>
      </c>
      <c r="S48">
        <f>[1]RESULTS1!$N$207</f>
        <v>2.0329999999999999</v>
      </c>
    </row>
    <row r="49" spans="1:19" x14ac:dyDescent="0.2">
      <c r="A49" t="s">
        <v>55</v>
      </c>
      <c r="C49" s="17">
        <f>[1]RESULTS1!$O$202</f>
        <v>3.9319999999999999</v>
      </c>
      <c r="G49" s="15">
        <f>[1]RESULTS1!$O$203</f>
        <v>3.2770000000000001</v>
      </c>
      <c r="I49">
        <f>[1]RESULTS1!$O$204</f>
        <v>3.5049999999999999</v>
      </c>
      <c r="K49" s="17">
        <f>[1]RESULTS1!$O$205</f>
        <v>3.08</v>
      </c>
      <c r="M49" s="15">
        <f>[1]RESULTS1!$O$206</f>
        <v>3.9319999999999999</v>
      </c>
      <c r="P49" s="15">
        <f>[1]RESULTS1!$O$208</f>
        <v>1.4219999999999999</v>
      </c>
      <c r="S49" s="15">
        <f>[1]RESULTS1!$O$207</f>
        <v>3.17</v>
      </c>
    </row>
    <row r="50" spans="1:19" x14ac:dyDescent="0.2">
      <c r="A50" t="s">
        <v>62</v>
      </c>
      <c r="C50" s="17">
        <f>[1]RESULTS1!$P$202</f>
        <v>3.4595666666666665</v>
      </c>
      <c r="G50" s="17">
        <f>[1]RESULTS1!$P$203</f>
        <v>2.6763666666666674</v>
      </c>
      <c r="I50" s="18">
        <f>[1]RESULTS1!$P$204</f>
        <v>3.1233999999999997</v>
      </c>
      <c r="K50" s="17">
        <f>[1]RESULTS1!$P$205</f>
        <v>2.526259259259259</v>
      </c>
      <c r="M50" s="17">
        <f>[1]RESULTS1!$P$206</f>
        <v>3.4595666666666665</v>
      </c>
      <c r="P50" s="17">
        <f>[1]RESULTS1!$P$208</f>
        <v>1.2098000000000011</v>
      </c>
      <c r="S50" s="17">
        <f>[1]RESULTS1!$P$207</f>
        <v>2.7240111111111109</v>
      </c>
    </row>
    <row r="51" spans="1:19" x14ac:dyDescent="0.2">
      <c r="A51" t="s">
        <v>4</v>
      </c>
      <c r="C51" s="4">
        <f>MAX([9]case900!$C$2:$C$8761)/3600/1000</f>
        <v>3.24974888907825</v>
      </c>
      <c r="G51" s="4">
        <f>MAX([10]case910!$C$2:$C$8761)/3600/1000</f>
        <v>2.5733667529525528</v>
      </c>
      <c r="I51" s="4">
        <f>MAX([11]case920!$C$2:$C$8761)/3600/1000</f>
        <v>2.7771599077848474</v>
      </c>
      <c r="K51" s="4">
        <f>MAX([12]case930!$C$2:$C$8761)/3600/1000</f>
        <v>2.2745694044109528</v>
      </c>
      <c r="M51" s="4">
        <f>MAX([13]case940!$C$2:$C$8761)/3600/1000</f>
        <v>3.2497388494910551</v>
      </c>
      <c r="P51" s="4">
        <f>MAX([14]case960!$C$2:$C$8761)/3600/1000</f>
        <v>1.1434519413892137</v>
      </c>
      <c r="S51" s="4">
        <f>MAX([15]case950!$C$2:$C$8761)/3600/1000</f>
        <v>2.3877944956559474</v>
      </c>
    </row>
    <row r="52" spans="1:19" x14ac:dyDescent="0.2">
      <c r="A52" t="s">
        <v>9</v>
      </c>
      <c r="C52" s="5">
        <f>(C51-C50)/C50</f>
        <v>-6.0648571860179933E-2</v>
      </c>
      <c r="G52" s="5">
        <f>(G51-G50)/G50</f>
        <v>-3.8484978533377824E-2</v>
      </c>
      <c r="I52" s="5">
        <f>(I51-I50)/I50</f>
        <v>-0.11085358654515987</v>
      </c>
      <c r="K52" s="5">
        <f>(K51-K50)/K50</f>
        <v>-9.9629463573784521E-2</v>
      </c>
      <c r="M52" s="5">
        <f>(M51-M50)/M50</f>
        <v>-6.0651473838422364E-2</v>
      </c>
      <c r="P52" s="5">
        <f>(P51-P50)/P50</f>
        <v>-5.4842171111578235E-2</v>
      </c>
      <c r="S52" s="5">
        <f>(S51-S50)/S50</f>
        <v>-0.12342703525831891</v>
      </c>
    </row>
    <row r="53" spans="1:19" x14ac:dyDescent="0.2">
      <c r="A53" s="14" t="s">
        <v>56</v>
      </c>
      <c r="C53" s="6" t="str">
        <f>IF(C51&gt;=C48,IF(C51&lt;=C49,"YES","NO"),"NO")</f>
        <v>YES</v>
      </c>
      <c r="G53" s="6" t="str">
        <f>IF(G51&gt;=G48,IF(G51&lt;=G49,"YES","NO"),"NO")</f>
        <v>YES</v>
      </c>
      <c r="I53" s="6" t="str">
        <f>IF(I51&gt;=I48,IF(I51&lt;=I49,"YES","NO"),"NO")</f>
        <v>YES</v>
      </c>
      <c r="K53" s="6" t="str">
        <f>IF(K51&gt;=K48,IF(K51&lt;=K49,"YES","NO"),"NO")</f>
        <v>YES</v>
      </c>
      <c r="M53" s="6" t="str">
        <f>IF(M51&gt;=M48,IF(M51&lt;=M49,"YES","NO"),"NO")</f>
        <v>YES</v>
      </c>
      <c r="P53" s="6" t="str">
        <f>IF(P51&gt;=P48,IF(P51&lt;=P49,"YES","NO"),"NO")</f>
        <v>YES</v>
      </c>
      <c r="S53" s="6" t="str">
        <f>IF(S51&gt;=S48,IF(S51&lt;=S49,"YES","NO"),"NO")</f>
        <v>YES</v>
      </c>
    </row>
  </sheetData>
  <phoneticPr fontId="0" type="noConversion"/>
  <pageMargins left="0.25" right="0" top="0.25" bottom="0.25" header="0.5" footer="0.25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workbookViewId="0">
      <selection activeCell="A3" sqref="A3"/>
    </sheetView>
  </sheetViews>
  <sheetFormatPr defaultRowHeight="12.75" x14ac:dyDescent="0.2"/>
  <cols>
    <col min="2" max="2" width="14.42578125" customWidth="1"/>
    <col min="5" max="5" width="10" customWidth="1"/>
  </cols>
  <sheetData>
    <row r="1" spans="1:15" ht="18" x14ac:dyDescent="0.25">
      <c r="A1" s="2" t="s">
        <v>268</v>
      </c>
    </row>
    <row r="2" spans="1:15" ht="15" x14ac:dyDescent="0.25">
      <c r="A2" s="12" t="s">
        <v>269</v>
      </c>
    </row>
    <row r="4" spans="1:15" x14ac:dyDescent="0.2">
      <c r="A4" s="1" t="s">
        <v>123</v>
      </c>
    </row>
    <row r="5" spans="1:15" x14ac:dyDescent="0.2">
      <c r="A5" s="1" t="s">
        <v>70</v>
      </c>
    </row>
    <row r="8" spans="1:15" ht="15" x14ac:dyDescent="0.25">
      <c r="A8" s="12"/>
    </row>
    <row r="9" spans="1:15" ht="15" x14ac:dyDescent="0.25">
      <c r="A9" s="12" t="s">
        <v>47</v>
      </c>
    </row>
    <row r="11" spans="1:15" x14ac:dyDescent="0.2">
      <c r="A11" s="1" t="s">
        <v>10</v>
      </c>
      <c r="C11" s="11" t="s">
        <v>48</v>
      </c>
      <c r="D11" s="3"/>
      <c r="F11" s="11" t="s">
        <v>49</v>
      </c>
      <c r="I11" s="11" t="s">
        <v>67</v>
      </c>
      <c r="L11" s="11" t="s">
        <v>69</v>
      </c>
      <c r="O11" s="11">
        <v>960</v>
      </c>
    </row>
    <row r="12" spans="1:15" x14ac:dyDescent="0.2">
      <c r="C12" s="4"/>
      <c r="F12" s="4"/>
      <c r="I12" s="4"/>
      <c r="L12" s="4"/>
      <c r="O12" s="4"/>
    </row>
    <row r="13" spans="1:15" x14ac:dyDescent="0.2">
      <c r="A13" s="1" t="s">
        <v>0</v>
      </c>
      <c r="C13" s="8" t="s">
        <v>12</v>
      </c>
      <c r="F13" s="8" t="s">
        <v>12</v>
      </c>
      <c r="I13" s="8" t="s">
        <v>12</v>
      </c>
      <c r="L13" s="8" t="s">
        <v>12</v>
      </c>
      <c r="O13" s="1" t="s">
        <v>57</v>
      </c>
    </row>
    <row r="14" spans="1:15" x14ac:dyDescent="0.2">
      <c r="C14" s="1" t="s">
        <v>46</v>
      </c>
      <c r="F14" s="1" t="s">
        <v>45</v>
      </c>
      <c r="I14" s="1" t="s">
        <v>46</v>
      </c>
      <c r="L14" s="1" t="s">
        <v>45</v>
      </c>
      <c r="O14" t="s">
        <v>58</v>
      </c>
    </row>
    <row r="15" spans="1:15" x14ac:dyDescent="0.2">
      <c r="C15" s="4" t="s">
        <v>13</v>
      </c>
      <c r="F15" s="4" t="s">
        <v>13</v>
      </c>
      <c r="I15" s="4" t="s">
        <v>13</v>
      </c>
      <c r="L15" s="4" t="s">
        <v>13</v>
      </c>
      <c r="O15" t="s">
        <v>59</v>
      </c>
    </row>
    <row r="16" spans="1:15" x14ac:dyDescent="0.2">
      <c r="C16" s="4" t="s">
        <v>15</v>
      </c>
      <c r="F16" s="4" t="s">
        <v>15</v>
      </c>
      <c r="I16" s="4" t="s">
        <v>15</v>
      </c>
      <c r="L16" s="4" t="s">
        <v>15</v>
      </c>
      <c r="O16" t="s">
        <v>60</v>
      </c>
    </row>
    <row r="17" spans="1:15" x14ac:dyDescent="0.2">
      <c r="C17" s="4" t="s">
        <v>16</v>
      </c>
      <c r="F17" s="4" t="s">
        <v>16</v>
      </c>
      <c r="I17" s="4" t="s">
        <v>16</v>
      </c>
      <c r="L17" s="4" t="s">
        <v>16</v>
      </c>
      <c r="O17" t="s">
        <v>61</v>
      </c>
    </row>
    <row r="18" spans="1:15" x14ac:dyDescent="0.2">
      <c r="C18" s="4" t="s">
        <v>50</v>
      </c>
      <c r="F18" s="4" t="s">
        <v>50</v>
      </c>
      <c r="I18" t="s">
        <v>68</v>
      </c>
      <c r="L18" t="s">
        <v>68</v>
      </c>
      <c r="O18" t="s">
        <v>18</v>
      </c>
    </row>
    <row r="19" spans="1:15" x14ac:dyDescent="0.2">
      <c r="C19" s="8" t="s">
        <v>18</v>
      </c>
      <c r="I19" s="4" t="s">
        <v>50</v>
      </c>
      <c r="L19" s="4" t="s">
        <v>50</v>
      </c>
      <c r="O19" s="4" t="s">
        <v>18</v>
      </c>
    </row>
    <row r="20" spans="1:15" x14ac:dyDescent="0.2">
      <c r="A20" s="1" t="s">
        <v>51</v>
      </c>
      <c r="C20" s="4"/>
      <c r="I20" s="4"/>
      <c r="L20" s="4"/>
      <c r="O20" s="4"/>
    </row>
    <row r="21" spans="1:15" x14ac:dyDescent="0.2">
      <c r="A21" t="s">
        <v>54</v>
      </c>
      <c r="C21" s="13">
        <f>[1]RESULTS1!$N$242</f>
        <v>64.900000000000006</v>
      </c>
      <c r="F21" s="13">
        <f>[1]RESULTS1!$N$243</f>
        <v>41.811999999999998</v>
      </c>
      <c r="I21" s="13">
        <f>[1]RESULTS1!$N$244</f>
        <v>63.235999999999997</v>
      </c>
      <c r="L21" s="13">
        <f>[1]RESULTS1!$N$245</f>
        <v>35.54</v>
      </c>
      <c r="O21" s="13">
        <f>[1]RESULTS1!$N$246</f>
        <v>48.88</v>
      </c>
    </row>
    <row r="22" spans="1:15" x14ac:dyDescent="0.2">
      <c r="A22" t="s">
        <v>55</v>
      </c>
      <c r="C22" s="13">
        <f>[1]RESULTS1!$O$242</f>
        <v>75.099999999999994</v>
      </c>
      <c r="F22">
        <f>[1]RESULTS1!$O$243</f>
        <v>46.4</v>
      </c>
      <c r="I22">
        <f>[1]RESULTS1!$O$244</f>
        <v>73.5</v>
      </c>
      <c r="L22">
        <f>[1]RESULTS1!$O$245</f>
        <v>38.5</v>
      </c>
      <c r="O22">
        <f>[1]RESULTS1!$O$246</f>
        <v>55.34</v>
      </c>
    </row>
    <row r="23" spans="1:15" x14ac:dyDescent="0.2">
      <c r="A23" t="s">
        <v>62</v>
      </c>
      <c r="C23" s="19">
        <f>[1]RESULTS1!$P$242</f>
        <v>67.715900000000005</v>
      </c>
      <c r="F23" s="13">
        <f>[1]RESULTS1!$P$243</f>
        <v>43.673200000000001</v>
      </c>
      <c r="I23" s="13">
        <f>[1]RESULTS1!$P$244</f>
        <v>66.123599999999996</v>
      </c>
      <c r="L23" s="13">
        <f>[1]RESULTS1!$P$245</f>
        <v>36.629000000000005</v>
      </c>
      <c r="O23" s="13">
        <f>[1]RESULTS1!$P$246</f>
        <v>50.536299999999997</v>
      </c>
    </row>
    <row r="24" spans="1:15" x14ac:dyDescent="0.2">
      <c r="A24" t="s">
        <v>4</v>
      </c>
      <c r="C24" s="13">
        <f>MAX([16]case600FF!$D$2:$D$8761)</f>
        <v>65.287339659600093</v>
      </c>
      <c r="F24" s="13">
        <f>MAX([17]case900FF!$D$2:$D$8761)</f>
        <v>43.1596424783327</v>
      </c>
      <c r="I24" s="13">
        <f>MAX([18]case650FF!$D$2:$D$8761)</f>
        <v>63.502228656646899</v>
      </c>
      <c r="L24" s="13">
        <f>MAX([19]case950FF!$D$2:$D$8761)</f>
        <v>36.643706710501199</v>
      </c>
      <c r="O24" s="13">
        <f>MAX([14]case960!$G$2:$G$8761)</f>
        <v>52.381512446701997</v>
      </c>
    </row>
    <row r="25" spans="1:15" x14ac:dyDescent="0.2">
      <c r="A25" t="s">
        <v>9</v>
      </c>
      <c r="C25" s="5">
        <f>(C24-C23)/C23</f>
        <v>-3.5863960168880743E-2</v>
      </c>
      <c r="F25" s="5">
        <f>(F24-F23)/F23</f>
        <v>-1.1759099898045067E-2</v>
      </c>
      <c r="I25" s="5">
        <f>(I24-I23)/I23</f>
        <v>-3.9643506151405807E-2</v>
      </c>
      <c r="L25" s="5">
        <f>(L24-L23)/L23</f>
        <v>4.0150455926162893E-4</v>
      </c>
      <c r="O25" s="5">
        <f>(O24-O23)/O23</f>
        <v>3.6512614629523731E-2</v>
      </c>
    </row>
    <row r="26" spans="1:15" x14ac:dyDescent="0.2">
      <c r="A26" s="14" t="s">
        <v>56</v>
      </c>
      <c r="C26" s="6" t="str">
        <f>IF(C24&gt;=C21,IF(C24&lt;=C22,"YES","NO"),"NO")</f>
        <v>YES</v>
      </c>
      <c r="F26" s="6" t="str">
        <f>IF(F24&gt;=F21,IF(F24&lt;=F22,"YES","NO"),"NO")</f>
        <v>YES</v>
      </c>
      <c r="I26" s="6" t="str">
        <f>IF(I24&gt;=I21,IF(I24&lt;=I22,"YES","NO"),"NO")</f>
        <v>YES</v>
      </c>
      <c r="L26" s="6" t="str">
        <f>IF(L24&gt;=L21,IF(L24&lt;=L22,"YES","NO"),"NO")</f>
        <v>YES</v>
      </c>
      <c r="O26" s="6" t="str">
        <f>IF(O24&gt;=O21,IF(O24&lt;=O22,"YES","NO"),"NO")</f>
        <v>YES</v>
      </c>
    </row>
    <row r="27" spans="1:15" x14ac:dyDescent="0.2">
      <c r="C27" s="4"/>
      <c r="I27" s="4"/>
      <c r="L27" s="4"/>
      <c r="O27" s="4"/>
    </row>
    <row r="28" spans="1:15" x14ac:dyDescent="0.2">
      <c r="C28" s="4"/>
      <c r="I28" s="4"/>
      <c r="L28" s="4"/>
      <c r="O28" s="4"/>
    </row>
    <row r="29" spans="1:15" x14ac:dyDescent="0.2">
      <c r="A29" s="1" t="s">
        <v>52</v>
      </c>
      <c r="C29" s="4"/>
      <c r="I29" s="4"/>
      <c r="L29" s="4"/>
      <c r="O29" s="4"/>
    </row>
    <row r="30" spans="1:15" x14ac:dyDescent="0.2">
      <c r="A30" t="s">
        <v>54</v>
      </c>
      <c r="C30" s="13">
        <f>[1]RESULTS1!$N$257</f>
        <v>-18.8</v>
      </c>
      <c r="F30" s="13">
        <f>[1]RESULTS1!$N$258</f>
        <v>-6.38</v>
      </c>
      <c r="I30" s="13">
        <f>[1]RESULTS1!$N$259</f>
        <v>-23</v>
      </c>
      <c r="L30" s="13">
        <f>[1]RESULTS1!$N$260</f>
        <v>-20.2</v>
      </c>
      <c r="O30" s="13">
        <f>[1]RESULTS1!$N$261</f>
        <v>-2.82</v>
      </c>
    </row>
    <row r="31" spans="1:15" x14ac:dyDescent="0.2">
      <c r="A31" t="s">
        <v>55</v>
      </c>
      <c r="C31" s="19">
        <f>[1]RESULTS1!$O$257</f>
        <v>-15.565</v>
      </c>
      <c r="F31" s="19">
        <f>[1]RESULTS1!$O$258</f>
        <v>-1.647</v>
      </c>
      <c r="I31" s="19">
        <f>[1]RESULTS1!$O$259</f>
        <v>-21</v>
      </c>
      <c r="L31" s="19">
        <f>[1]RESULTS1!$O$260</f>
        <v>-17.8</v>
      </c>
      <c r="O31" s="19">
        <f>[1]RESULTS1!$O$261</f>
        <v>6</v>
      </c>
    </row>
    <row r="32" spans="1:15" x14ac:dyDescent="0.2">
      <c r="A32" t="s">
        <v>62</v>
      </c>
      <c r="C32" s="19">
        <f>[1]RESULTS1!$P$257</f>
        <v>-17.604500000000002</v>
      </c>
      <c r="F32" s="19">
        <f>[1]RESULTS1!$P$258</f>
        <v>-3.6766999999999994</v>
      </c>
      <c r="I32" s="19">
        <f>[1]RESULTS1!$P$259</f>
        <v>-22.382399999999997</v>
      </c>
      <c r="L32" s="19">
        <f>[1]RESULTS1!$P$260</f>
        <v>-19.296399999999998</v>
      </c>
      <c r="O32" s="19">
        <f>[1]RESULTS1!$P$261</f>
        <v>2.2978999999999998</v>
      </c>
    </row>
    <row r="33" spans="1:15" x14ac:dyDescent="0.2">
      <c r="A33" t="s">
        <v>4</v>
      </c>
      <c r="C33" s="13">
        <f>MIN([16]case600FF!$D$2:$D$8761)</f>
        <v>-17.418010002545799</v>
      </c>
      <c r="F33" s="13">
        <f>MIN([17]case900FF!$D$2:$D$8761)</f>
        <v>-2.6030415139750298</v>
      </c>
      <c r="I33" s="13">
        <f>MIN([18]case650FF!$D$2:$D$8761)</f>
        <v>-23.0438235411366</v>
      </c>
      <c r="L33" s="13">
        <f>MIN([19]case950FF!$D$2:$D$8761)</f>
        <v>-20.339623145764001</v>
      </c>
      <c r="O33" s="13">
        <f>MIN([14]case960!$G$2:$G$8761)</f>
        <v>2.22049045109986</v>
      </c>
    </row>
    <row r="34" spans="1:15" x14ac:dyDescent="0.2">
      <c r="A34" t="s">
        <v>9</v>
      </c>
      <c r="C34" s="5">
        <f>(C33-C32)/C32</f>
        <v>-1.0593314064824487E-2</v>
      </c>
      <c r="F34" s="5">
        <f>(F33-F32)/F32</f>
        <v>-0.29201688634508383</v>
      </c>
      <c r="I34" s="5">
        <f>(I33-I32)/I32</f>
        <v>2.9551055344225967E-2</v>
      </c>
      <c r="L34" s="5">
        <f>(L33-L32)/L32</f>
        <v>5.4063097042142731E-2</v>
      </c>
      <c r="O34" s="5">
        <f>(O33-O32)/O32</f>
        <v>-3.368708338053869E-2</v>
      </c>
    </row>
    <row r="35" spans="1:15" x14ac:dyDescent="0.2">
      <c r="A35" s="14" t="s">
        <v>56</v>
      </c>
      <c r="C35" s="6" t="str">
        <f>IF(C33&gt;=C30,IF(C33&lt;=C31,"YES","NO"),"NO")</f>
        <v>YES</v>
      </c>
      <c r="F35" s="6" t="str">
        <f>IF(F33&gt;=F30,IF(F33&lt;=F31,"YES","NO"),"NO")</f>
        <v>YES</v>
      </c>
      <c r="I35" s="6" t="str">
        <f>IF(I33&gt;=I30,IF(I33&lt;=I31,"YES","NO"),"NO")</f>
        <v>NO</v>
      </c>
      <c r="L35" s="6" t="str">
        <f>IF(L33&gt;=L30,IF(L33&lt;=L31,"YES","NO"),"NO")</f>
        <v>NO</v>
      </c>
      <c r="O35" s="6" t="str">
        <f>IF(O33&gt;=O30,IF(O33&lt;=O31,"YES","NO"),"NO")</f>
        <v>YES</v>
      </c>
    </row>
    <row r="36" spans="1:15" x14ac:dyDescent="0.2">
      <c r="C36" s="4"/>
      <c r="I36" s="4"/>
      <c r="L36" s="4"/>
      <c r="O36" s="4"/>
    </row>
    <row r="37" spans="1:15" x14ac:dyDescent="0.2">
      <c r="C37" s="4"/>
      <c r="I37" s="4"/>
      <c r="L37" s="4"/>
      <c r="O37" s="4"/>
    </row>
    <row r="38" spans="1:15" x14ac:dyDescent="0.2">
      <c r="A38" s="1" t="s">
        <v>53</v>
      </c>
      <c r="C38" s="4"/>
      <c r="I38" s="4"/>
      <c r="L38" s="4"/>
      <c r="O38" s="4"/>
    </row>
    <row r="39" spans="1:15" x14ac:dyDescent="0.2">
      <c r="A39" t="s">
        <v>54</v>
      </c>
      <c r="C39" s="13">
        <f>[1]RESULTS1!$N$266</f>
        <v>24.22</v>
      </c>
      <c r="F39" s="13">
        <f>[1]RESULTS1!$N$267</f>
        <v>24.45</v>
      </c>
      <c r="I39" s="13">
        <f>[1]RESULTS1!$N$268</f>
        <v>17.989999999999998</v>
      </c>
      <c r="L39" s="13">
        <f>[1]RESULTS1!$N$269</f>
        <v>14</v>
      </c>
      <c r="O39" s="13">
        <f>[1]RESULTS1!$N$270</f>
        <v>26.43</v>
      </c>
    </row>
    <row r="40" spans="1:15" x14ac:dyDescent="0.2">
      <c r="A40" t="s">
        <v>55</v>
      </c>
      <c r="C40" s="13">
        <f>[1]RESULTS1!$O$266</f>
        <v>27.4</v>
      </c>
      <c r="F40" s="13">
        <f>[1]RESULTS1!$O$267</f>
        <v>27.5</v>
      </c>
      <c r="I40" s="13">
        <f>[1]RESULTS1!$O$268</f>
        <v>20.8</v>
      </c>
      <c r="L40" s="13">
        <f>[1]RESULTS1!$O$269</f>
        <v>15.3</v>
      </c>
      <c r="O40" s="13">
        <f>[1]RESULTS1!$O$270</f>
        <v>30.5</v>
      </c>
    </row>
    <row r="41" spans="1:15" x14ac:dyDescent="0.2">
      <c r="A41" t="s">
        <v>62</v>
      </c>
      <c r="C41" s="13">
        <f>[1]RESULTS1!$P$266</f>
        <v>25.330599999999997</v>
      </c>
      <c r="F41" s="13">
        <f>[1]RESULTS1!$P$267</f>
        <v>25.484299999999998</v>
      </c>
      <c r="I41" s="13">
        <f>[1]RESULTS1!$P$268</f>
        <v>18.910400000000003</v>
      </c>
      <c r="L41" s="13">
        <f>[1]RESULTS1!$P$269</f>
        <v>14.468999999999999</v>
      </c>
      <c r="O41" s="13">
        <f>[1]RESULTS1!$P$270</f>
        <v>28.205000000000002</v>
      </c>
    </row>
    <row r="42" spans="1:15" x14ac:dyDescent="0.2">
      <c r="A42" t="s">
        <v>4</v>
      </c>
      <c r="C42" s="13">
        <f>AVERAGE([16]case600FF!$D$2:$D$8761)</f>
        <v>25.799970322822766</v>
      </c>
      <c r="F42" s="13">
        <f>AVERAGE([17]case900FF!$D$2:$D$8761)</f>
        <v>25.998814023165096</v>
      </c>
      <c r="I42" s="13">
        <f>AVERAGE([18]case650FF!$D$2:$D$8761)</f>
        <v>18.639919867943181</v>
      </c>
      <c r="L42" s="13">
        <f>AVERAGE([19]case950FF!$D$2:$D$8761)</f>
        <v>14.496187912775195</v>
      </c>
      <c r="O42" s="13">
        <f>AVERAGE([14]case960!$G$2:$G$8761)</f>
        <v>29.128571248829676</v>
      </c>
    </row>
    <row r="43" spans="1:15" x14ac:dyDescent="0.2">
      <c r="A43" t="s">
        <v>9</v>
      </c>
      <c r="C43" s="5">
        <f>(C42-C41)/C41</f>
        <v>1.8529775166114072E-2</v>
      </c>
      <c r="F43" s="5">
        <f>(F42-F41)/F41</f>
        <v>2.0189450884077587E-2</v>
      </c>
      <c r="I43" s="5">
        <f>(I42-I41)/I41</f>
        <v>-1.4303247528176109E-2</v>
      </c>
      <c r="L43" s="5">
        <f>(L42-L41)/L41</f>
        <v>1.8790457374521737E-3</v>
      </c>
      <c r="O43" s="5">
        <f>(O42-O41)/O41</f>
        <v>3.2744947662814182E-2</v>
      </c>
    </row>
    <row r="44" spans="1:15" x14ac:dyDescent="0.2">
      <c r="A44" s="14" t="s">
        <v>56</v>
      </c>
      <c r="C44" s="6" t="str">
        <f>IF(C42&gt;=C39,IF(C42&lt;=C40,"YES","NO"),"NO")</f>
        <v>YES</v>
      </c>
      <c r="F44" s="6" t="str">
        <f>IF(F42&gt;=F39,IF(F42&lt;=F40,"YES","NO"),"NO")</f>
        <v>YES</v>
      </c>
      <c r="G44" s="6" t="s">
        <v>18</v>
      </c>
      <c r="I44" s="6" t="str">
        <f>IF(I42&gt;=I39,IF(I42&lt;=I40,"YES","NO"),"NO")</f>
        <v>YES</v>
      </c>
      <c r="L44" s="6" t="str">
        <f>IF(L42&gt;=L39,IF(L42&lt;=L40,"YES","NO"),"NO")</f>
        <v>YES</v>
      </c>
      <c r="O44" s="6" t="str">
        <f>IF(O42&gt;=O39,IF(O42&lt;=O40,"YES","NO"),"NO")</f>
        <v>YES</v>
      </c>
    </row>
    <row r="45" spans="1:15" x14ac:dyDescent="0.2">
      <c r="A45" t="s">
        <v>18</v>
      </c>
      <c r="C45" s="7" t="s">
        <v>18</v>
      </c>
      <c r="I45" s="7" t="s">
        <v>18</v>
      </c>
      <c r="L45" s="7" t="s">
        <v>18</v>
      </c>
      <c r="O45" s="7" t="s">
        <v>18</v>
      </c>
    </row>
    <row r="46" spans="1:15" x14ac:dyDescent="0.2">
      <c r="C46" s="4"/>
      <c r="I46" s="4"/>
      <c r="L46" s="4"/>
      <c r="O46" s="4"/>
    </row>
    <row r="47" spans="1:15" x14ac:dyDescent="0.2">
      <c r="C47" s="4"/>
      <c r="I47" s="4"/>
      <c r="L47" s="4"/>
      <c r="O47" s="4"/>
    </row>
    <row r="48" spans="1:15" x14ac:dyDescent="0.2">
      <c r="A48" s="1" t="s">
        <v>18</v>
      </c>
      <c r="C48" s="4"/>
      <c r="I48" s="4"/>
      <c r="L48" s="4"/>
      <c r="O48" s="4"/>
    </row>
    <row r="49" spans="1:15" x14ac:dyDescent="0.2">
      <c r="A49" t="s">
        <v>18</v>
      </c>
      <c r="C49" s="4" t="s">
        <v>18</v>
      </c>
      <c r="I49" s="4" t="s">
        <v>18</v>
      </c>
      <c r="L49" s="4" t="s">
        <v>18</v>
      </c>
      <c r="O49" s="4" t="s">
        <v>18</v>
      </c>
    </row>
    <row r="50" spans="1:15" x14ac:dyDescent="0.2">
      <c r="A50" t="s">
        <v>18</v>
      </c>
      <c r="C50" s="4" t="s">
        <v>18</v>
      </c>
      <c r="I50" s="4" t="s">
        <v>18</v>
      </c>
      <c r="L50" s="4" t="s">
        <v>18</v>
      </c>
      <c r="O50" s="4" t="s">
        <v>18</v>
      </c>
    </row>
    <row r="51" spans="1:15" x14ac:dyDescent="0.2">
      <c r="A51" t="s">
        <v>18</v>
      </c>
      <c r="C51" s="5" t="s">
        <v>18</v>
      </c>
      <c r="I51" s="5" t="s">
        <v>18</v>
      </c>
      <c r="L51" s="5" t="s">
        <v>18</v>
      </c>
      <c r="O51" s="5" t="s">
        <v>18</v>
      </c>
    </row>
    <row r="52" spans="1:15" x14ac:dyDescent="0.2">
      <c r="A52" t="s">
        <v>18</v>
      </c>
      <c r="C52" s="6" t="s">
        <v>18</v>
      </c>
      <c r="I52" s="6" t="s">
        <v>18</v>
      </c>
      <c r="L52" s="6" t="s">
        <v>18</v>
      </c>
      <c r="O52" s="6" t="s">
        <v>18</v>
      </c>
    </row>
    <row r="53" spans="1:15" x14ac:dyDescent="0.2">
      <c r="A53" t="s">
        <v>18</v>
      </c>
      <c r="C53" s="4" t="s">
        <v>18</v>
      </c>
      <c r="I53" s="4" t="s">
        <v>18</v>
      </c>
      <c r="L53" s="4" t="s">
        <v>18</v>
      </c>
      <c r="O53" s="4" t="s">
        <v>18</v>
      </c>
    </row>
    <row r="54" spans="1:15" x14ac:dyDescent="0.2">
      <c r="C54" t="s">
        <v>18</v>
      </c>
      <c r="I54" t="s">
        <v>18</v>
      </c>
      <c r="L54" t="s">
        <v>18</v>
      </c>
      <c r="O54" t="s">
        <v>18</v>
      </c>
    </row>
  </sheetData>
  <phoneticPr fontId="0" type="noConversion"/>
  <pageMargins left="0.25" right="0" top="0.25" bottom="0.25" header="0.5" footer="0.25"/>
  <pageSetup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workbookViewId="0">
      <selection activeCell="A2" sqref="A2"/>
    </sheetView>
  </sheetViews>
  <sheetFormatPr defaultRowHeight="12.75" x14ac:dyDescent="0.2"/>
  <cols>
    <col min="1" max="1" width="13.140625" customWidth="1"/>
    <col min="2" max="2" width="10" customWidth="1"/>
    <col min="3" max="3" width="10" bestFit="1" customWidth="1"/>
    <col min="4" max="4" width="22.140625" customWidth="1"/>
    <col min="6" max="6" width="21.140625" customWidth="1"/>
    <col min="8" max="8" width="16.7109375" customWidth="1"/>
    <col min="10" max="10" width="16.7109375" customWidth="1"/>
    <col min="12" max="12" width="13.140625" customWidth="1"/>
    <col min="14" max="14" width="13.28515625" customWidth="1"/>
    <col min="16" max="16" width="13.7109375" customWidth="1"/>
    <col min="18" max="18" width="12.85546875" customWidth="1"/>
    <col min="20" max="20" width="12.85546875" customWidth="1"/>
  </cols>
  <sheetData>
    <row r="1" spans="1:21" ht="18" x14ac:dyDescent="0.25">
      <c r="A1" s="2" t="s">
        <v>268</v>
      </c>
    </row>
    <row r="2" spans="1:21" ht="15" x14ac:dyDescent="0.25">
      <c r="A2" s="12" t="s">
        <v>269</v>
      </c>
    </row>
    <row r="4" spans="1:21" x14ac:dyDescent="0.2">
      <c r="A4" s="1" t="s">
        <v>123</v>
      </c>
    </row>
    <row r="5" spans="1:21" x14ac:dyDescent="0.2">
      <c r="A5" s="1" t="s">
        <v>70</v>
      </c>
    </row>
    <row r="8" spans="1:21" ht="15" x14ac:dyDescent="0.25">
      <c r="A8" s="12"/>
    </row>
    <row r="9" spans="1:21" ht="15" x14ac:dyDescent="0.25">
      <c r="A9" s="12" t="s">
        <v>46</v>
      </c>
    </row>
    <row r="11" spans="1:21" x14ac:dyDescent="0.2">
      <c r="A11" s="1" t="s">
        <v>10</v>
      </c>
      <c r="C11" s="10">
        <v>200</v>
      </c>
      <c r="D11" s="1"/>
      <c r="E11" s="10">
        <v>210</v>
      </c>
      <c r="G11" s="10">
        <v>215</v>
      </c>
      <c r="I11" s="10">
        <v>220</v>
      </c>
      <c r="K11" s="10">
        <v>230</v>
      </c>
      <c r="M11" s="10">
        <v>240</v>
      </c>
      <c r="O11" s="10">
        <v>250</v>
      </c>
      <c r="Q11" s="10">
        <v>270</v>
      </c>
      <c r="S11" s="10">
        <v>280</v>
      </c>
      <c r="U11" s="10">
        <v>290</v>
      </c>
    </row>
    <row r="12" spans="1:21" x14ac:dyDescent="0.2">
      <c r="C12" s="1"/>
      <c r="D12" s="1"/>
      <c r="E12" s="1"/>
      <c r="G12" s="1"/>
      <c r="I12" s="1"/>
      <c r="K12" s="1"/>
      <c r="M12" s="1"/>
      <c r="O12" s="1"/>
      <c r="Q12" s="1"/>
      <c r="S12" s="1"/>
      <c r="U12" s="1"/>
    </row>
    <row r="13" spans="1:21" x14ac:dyDescent="0.2">
      <c r="A13" s="1" t="s">
        <v>0</v>
      </c>
      <c r="C13" s="1" t="s">
        <v>100</v>
      </c>
      <c r="D13" s="1"/>
      <c r="E13" s="1" t="s">
        <v>102</v>
      </c>
      <c r="G13" s="1" t="s">
        <v>111</v>
      </c>
      <c r="I13" s="1" t="s">
        <v>106</v>
      </c>
      <c r="K13" s="1" t="s">
        <v>22</v>
      </c>
      <c r="M13" s="1" t="s">
        <v>84</v>
      </c>
      <c r="O13" s="1" t="s">
        <v>114</v>
      </c>
      <c r="Q13" s="1" t="s">
        <v>116</v>
      </c>
      <c r="S13" s="1" t="s">
        <v>95</v>
      </c>
      <c r="U13" s="1" t="s">
        <v>121</v>
      </c>
    </row>
    <row r="14" spans="1:21" x14ac:dyDescent="0.2">
      <c r="C14" s="4" t="s">
        <v>103</v>
      </c>
      <c r="E14" t="s">
        <v>104</v>
      </c>
      <c r="G14" t="s">
        <v>104</v>
      </c>
      <c r="I14" t="s">
        <v>107</v>
      </c>
      <c r="K14" t="s">
        <v>104</v>
      </c>
      <c r="M14" t="s">
        <v>104</v>
      </c>
      <c r="O14" t="s">
        <v>104</v>
      </c>
      <c r="Q14" t="s">
        <v>104</v>
      </c>
      <c r="S14" t="s">
        <v>119</v>
      </c>
      <c r="U14" t="s">
        <v>119</v>
      </c>
    </row>
    <row r="15" spans="1:21" x14ac:dyDescent="0.2">
      <c r="C15" s="4" t="s">
        <v>101</v>
      </c>
      <c r="E15" s="4" t="s">
        <v>105</v>
      </c>
      <c r="G15" s="4" t="s">
        <v>101</v>
      </c>
      <c r="I15" t="s">
        <v>72</v>
      </c>
      <c r="K15" t="s">
        <v>112</v>
      </c>
      <c r="M15" t="s">
        <v>113</v>
      </c>
      <c r="O15" t="s">
        <v>115</v>
      </c>
      <c r="Q15" t="s">
        <v>117</v>
      </c>
      <c r="S15" t="s">
        <v>120</v>
      </c>
      <c r="U15" t="s">
        <v>122</v>
      </c>
    </row>
    <row r="16" spans="1:21" x14ac:dyDescent="0.2">
      <c r="C16" s="4" t="s">
        <v>18</v>
      </c>
      <c r="E16" t="s">
        <v>18</v>
      </c>
      <c r="G16" t="s">
        <v>18</v>
      </c>
      <c r="I16" t="s">
        <v>71</v>
      </c>
      <c r="K16" t="s">
        <v>18</v>
      </c>
      <c r="M16" t="s">
        <v>18</v>
      </c>
      <c r="O16" t="s">
        <v>18</v>
      </c>
      <c r="Q16" t="s">
        <v>118</v>
      </c>
    </row>
    <row r="17" spans="1:21" x14ac:dyDescent="0.2">
      <c r="C17" s="4" t="s">
        <v>18</v>
      </c>
      <c r="E17" t="s">
        <v>18</v>
      </c>
      <c r="G17" t="s">
        <v>18</v>
      </c>
      <c r="I17" t="s">
        <v>108</v>
      </c>
      <c r="K17" t="s">
        <v>18</v>
      </c>
      <c r="M17" t="s">
        <v>18</v>
      </c>
      <c r="O17" t="s">
        <v>18</v>
      </c>
      <c r="Q17" t="s">
        <v>18</v>
      </c>
      <c r="S17" t="s">
        <v>18</v>
      </c>
      <c r="U17" t="s">
        <v>18</v>
      </c>
    </row>
    <row r="18" spans="1:21" x14ac:dyDescent="0.2">
      <c r="G18" t="s">
        <v>18</v>
      </c>
      <c r="I18" t="s">
        <v>109</v>
      </c>
      <c r="K18" t="s">
        <v>18</v>
      </c>
      <c r="M18" t="s">
        <v>18</v>
      </c>
      <c r="O18" t="s">
        <v>18</v>
      </c>
      <c r="Q18" t="s">
        <v>18</v>
      </c>
      <c r="S18" t="s">
        <v>18</v>
      </c>
      <c r="U18" t="s">
        <v>18</v>
      </c>
    </row>
    <row r="19" spans="1:21" x14ac:dyDescent="0.2">
      <c r="G19" t="s">
        <v>18</v>
      </c>
      <c r="I19" t="s">
        <v>110</v>
      </c>
      <c r="K19" t="s">
        <v>18</v>
      </c>
      <c r="M19" t="s">
        <v>18</v>
      </c>
      <c r="O19" t="s">
        <v>18</v>
      </c>
      <c r="Q19" t="s">
        <v>18</v>
      </c>
      <c r="S19" t="s">
        <v>18</v>
      </c>
      <c r="U19" t="s">
        <v>18</v>
      </c>
    </row>
    <row r="20" spans="1:21" x14ac:dyDescent="0.2">
      <c r="A20" s="1" t="s">
        <v>5</v>
      </c>
    </row>
    <row r="21" spans="1:21" x14ac:dyDescent="0.2">
      <c r="A21" t="s">
        <v>54</v>
      </c>
      <c r="C21">
        <f>[1]RESULTS1!$N$73</f>
        <v>5.2519999999999998</v>
      </c>
      <c r="E21" s="4">
        <f>[1]RESULTS1!$N$74</f>
        <v>6.4560000000000004</v>
      </c>
      <c r="G21" s="4">
        <f>[1]RESULTS1!$N$75</f>
        <v>5.5469999999999997</v>
      </c>
      <c r="I21" s="4">
        <f>[1]RESULTS1!$N$76</f>
        <v>6.944</v>
      </c>
      <c r="K21" s="4">
        <f>[1]RESULTS1!$N$77</f>
        <v>10.375999999999999</v>
      </c>
      <c r="M21" s="4">
        <f>[1]RESULTS1!$N$78</f>
        <v>5.649</v>
      </c>
      <c r="O21" s="4">
        <f>[1]RESULTS1!$N$79</f>
        <v>4.7510000000000003</v>
      </c>
      <c r="Q21" s="4">
        <f>[1]RESULTS1!$N$81</f>
        <v>4.51</v>
      </c>
      <c r="S21" s="4">
        <f>[1]RESULTS1!$N$82</f>
        <v>4.6749999999999998</v>
      </c>
      <c r="U21" s="4">
        <f>[1]RESULTS1!$N$83</f>
        <v>4.577</v>
      </c>
    </row>
    <row r="22" spans="1:21" x14ac:dyDescent="0.2">
      <c r="A22" t="s">
        <v>55</v>
      </c>
      <c r="C22">
        <f>[1]RESULTS1!$O$73</f>
        <v>5.2519999999999998</v>
      </c>
      <c r="E22">
        <f>[1]RESULTS1!$O$74</f>
        <v>6.9669999999999996</v>
      </c>
      <c r="G22">
        <f>[1]RESULTS1!$O$75</f>
        <v>5.5469999999999997</v>
      </c>
      <c r="I22">
        <f>[1]RESULTS1!$O$76</f>
        <v>8.7870000000000008</v>
      </c>
      <c r="K22">
        <f>[1]RESULTS1!$O$77</f>
        <v>12.243</v>
      </c>
      <c r="M22">
        <f>[1]RESULTS1!$O$78</f>
        <v>7.4480000000000004</v>
      </c>
      <c r="O22">
        <f>[1]RESULTS1!$O$79</f>
        <v>7.024</v>
      </c>
      <c r="Q22">
        <f>[1]RESULTS1!$O$81</f>
        <v>5.92</v>
      </c>
      <c r="S22">
        <f>[1]RESULTS1!$O$82</f>
        <v>6.1479999999999997</v>
      </c>
      <c r="U22">
        <f>[1]RESULTS1!$O$83</f>
        <v>5.9420000000000002</v>
      </c>
    </row>
    <row r="23" spans="1:21" x14ac:dyDescent="0.2">
      <c r="A23" t="s">
        <v>62</v>
      </c>
      <c r="C23" s="4">
        <f>[1]RESULTS1!$P$73</f>
        <v>5.2519999999999998</v>
      </c>
      <c r="E23" s="17">
        <f>[1]RESULTS1!$P$74</f>
        <v>6.6340000000000003</v>
      </c>
      <c r="G23" s="17">
        <f>[1]RESULTS1!$P$75</f>
        <v>5.5469999999999997</v>
      </c>
      <c r="I23" s="17">
        <f>[1]RESULTS1!$P$76</f>
        <v>7.6263000000000005</v>
      </c>
      <c r="K23" s="17">
        <f>[1]RESULTS1!$P$77</f>
        <v>11.13500000000001</v>
      </c>
      <c r="M23" s="17">
        <f>[1]RESULTS1!$P$78</f>
        <v>6.3610000000000007</v>
      </c>
      <c r="O23" s="17">
        <f>[1]RESULTS1!$P$79</f>
        <v>5.9806999999999997</v>
      </c>
      <c r="Q23" s="17">
        <f>[1]RESULTS1!$P$81</f>
        <v>5.1667142857142858</v>
      </c>
      <c r="S23" s="17">
        <f>[1]RESULTS1!$P$82</f>
        <v>5.5008333333333335</v>
      </c>
      <c r="U23" s="17">
        <f>[1]RESULTS1!$P$83</f>
        <v>5.2541666666666664</v>
      </c>
    </row>
    <row r="24" spans="1:21" x14ac:dyDescent="0.2">
      <c r="A24" t="s">
        <v>4</v>
      </c>
      <c r="C24" s="4">
        <f>SUM([20]case200!$B$2:$B$8761)/3600/1000000</f>
        <v>5.5780501461076382</v>
      </c>
      <c r="E24" s="4">
        <f>SUM([21]case210!$B$2:$B$8761)/3600/1000000</f>
        <v>6.597896954842259</v>
      </c>
      <c r="G24" s="4">
        <f>SUM([22]case215!$B$2:$B$8761)/3600/1000000</f>
        <v>5.9525302863268701</v>
      </c>
      <c r="I24" s="4">
        <f>SUM([23]case220!$B$2:$B$8761)/3600/1000000</f>
        <v>7.1100634113690697</v>
      </c>
      <c r="K24" s="4">
        <f>SUM([24]case230!$B$2:$B$8761)/3600/1000000</f>
        <v>10.89828277317276</v>
      </c>
      <c r="M24" s="4">
        <f>SUM([25]case240!$B$2:$B$8761)/3600/1000000</f>
        <v>5.8679213913357549</v>
      </c>
      <c r="O24" s="4">
        <f>SUM([26]case250!$B$2:$B$8761)/3600/1000000</f>
        <v>5.1891042754950778</v>
      </c>
      <c r="Q24" s="4">
        <f>SUM([27]case270!$B$2:$B$8761)/3600/1000000</f>
        <v>4.4524663968399709</v>
      </c>
      <c r="S24" s="4">
        <f>SUM([28]case280!$B$2:$B$8761)/3600/1000000</f>
        <v>4.650609033741353</v>
      </c>
      <c r="U24" s="4">
        <f>SUM([29]case290!$B$2:$B$8761)/3600/1000000</f>
        <v>4.4877944739537847</v>
      </c>
    </row>
    <row r="25" spans="1:21" x14ac:dyDescent="0.2">
      <c r="A25" t="s">
        <v>9</v>
      </c>
      <c r="C25" s="5">
        <f>(C24-C23)/C23</f>
        <v>6.2081139776778066E-2</v>
      </c>
      <c r="E25" s="5">
        <f>(E24-E23)/E23</f>
        <v>-5.4421231772296226E-3</v>
      </c>
      <c r="G25" s="5">
        <f>(G24-G23)/G23</f>
        <v>7.310803791722921E-2</v>
      </c>
      <c r="I25" s="5">
        <f>(I24-I23)/I23</f>
        <v>-6.7691618298641648E-2</v>
      </c>
      <c r="K25" s="5">
        <f>(K24-K23)/K23</f>
        <v>-2.1258843900067409E-2</v>
      </c>
      <c r="M25" s="5">
        <f>(M24-M23)/M23</f>
        <v>-7.7515895089489972E-2</v>
      </c>
      <c r="O25" s="5">
        <f>(O24-O23)/O23</f>
        <v>-0.132358373518973</v>
      </c>
      <c r="Q25" s="5">
        <f>(Q24-Q23)/Q23</f>
        <v>-0.13824025277518745</v>
      </c>
      <c r="S25" s="5">
        <f>(S24-S23)/S23</f>
        <v>-0.15456281768071148</v>
      </c>
      <c r="U25" s="5">
        <f>(U24-U23)/U23</f>
        <v>-0.14585989393425189</v>
      </c>
    </row>
    <row r="26" spans="1:21" x14ac:dyDescent="0.2">
      <c r="A26" s="14" t="s">
        <v>56</v>
      </c>
      <c r="B26" s="3"/>
      <c r="C26" s="6" t="str">
        <f>IF(C24&gt;=C21,IF(C24&lt;=C22,"YES","NO"),"NO")</f>
        <v>NO</v>
      </c>
      <c r="D26" s="3"/>
      <c r="E26" s="6" t="str">
        <f>IF(E24&gt;=E21,IF(E24&lt;=E22,"YES","NO"),"NO")</f>
        <v>YES</v>
      </c>
      <c r="F26" s="3"/>
      <c r="G26" s="6" t="str">
        <f>IF(G24&gt;=G21,IF(G24&lt;=G22,"YES","NO"),"NO")</f>
        <v>NO</v>
      </c>
      <c r="H26" s="3"/>
      <c r="I26" s="6" t="str">
        <f>IF(I24&gt;=I21,IF(I24&lt;=I22,"YES","NO"),"NO")</f>
        <v>YES</v>
      </c>
      <c r="J26" s="3"/>
      <c r="K26" s="6" t="str">
        <f>IF(K24&gt;=K21,IF(K24&lt;=K22,"YES","NO"),"NO")</f>
        <v>YES</v>
      </c>
      <c r="M26" s="6" t="str">
        <f>IF(M24&gt;=M21,IF(M24&lt;=M22,"YES","NO"),"NO")</f>
        <v>YES</v>
      </c>
      <c r="O26" s="6" t="str">
        <f>IF(O24&gt;=O21,IF(O24&lt;=O22,"YES","NO"),"NO")</f>
        <v>YES</v>
      </c>
      <c r="Q26" s="6" t="str">
        <f>IF(Q24&gt;=Q21,IF(Q24&lt;=Q22,"YES","NO"),"NO")</f>
        <v>NO</v>
      </c>
      <c r="S26" s="6" t="str">
        <f>IF(S24&gt;=S21,IF(S24&lt;=S22,"YES","NO"),"NO")</f>
        <v>NO</v>
      </c>
      <c r="U26" s="6" t="str">
        <f>IF(U24&gt;=U21,IF(U24&lt;=U22,"YES","NO"),"NO")</f>
        <v>NO</v>
      </c>
    </row>
    <row r="27" spans="1:21" x14ac:dyDescent="0.2">
      <c r="A27" s="14"/>
      <c r="B27" s="3"/>
      <c r="C27" s="6"/>
      <c r="D27" s="3"/>
      <c r="E27" s="6"/>
      <c r="F27" s="3"/>
      <c r="G27" s="6"/>
      <c r="H27" s="3"/>
      <c r="I27" s="6"/>
      <c r="J27" s="3"/>
      <c r="K27" s="6"/>
      <c r="M27" s="6"/>
      <c r="O27" s="6"/>
      <c r="Q27" s="6"/>
      <c r="S27" s="6"/>
      <c r="U27" s="6"/>
    </row>
    <row r="29" spans="1:21" x14ac:dyDescent="0.2">
      <c r="A29" s="1" t="s">
        <v>6</v>
      </c>
    </row>
    <row r="30" spans="1:21" x14ac:dyDescent="0.2">
      <c r="A30" t="s">
        <v>54</v>
      </c>
      <c r="C30">
        <f>[1]RESULTS1!$N$118</f>
        <v>0.56999999999999995</v>
      </c>
      <c r="E30">
        <f>[1]RESULTS1!$N$119</f>
        <v>0.16200000000000001</v>
      </c>
      <c r="G30">
        <f>[1]RESULTS1!$N$120</f>
        <v>0.63900000000000001</v>
      </c>
      <c r="I30">
        <f>[1]RESULTS1!$N$121</f>
        <v>0.186</v>
      </c>
      <c r="K30">
        <f>[1]RESULTS1!$N$122</f>
        <v>0.45400000000000001</v>
      </c>
      <c r="M30">
        <f>[1]RESULTS1!$N$123</f>
        <v>0.41499999999999998</v>
      </c>
      <c r="O30">
        <f>[1]RESULTS1!$N$124</f>
        <v>2.177</v>
      </c>
      <c r="Q30">
        <f>[1]RESULTS1!$N$126</f>
        <v>7.5279999999999996</v>
      </c>
      <c r="S30">
        <f>[1]RESULTS1!$N$127</f>
        <v>4.8730000000000002</v>
      </c>
      <c r="U30">
        <f>[1]RESULTS1!$N$128</f>
        <v>5.2039999999999997</v>
      </c>
    </row>
    <row r="31" spans="1:21" x14ac:dyDescent="0.2">
      <c r="A31" t="s">
        <v>55</v>
      </c>
      <c r="C31">
        <f>[1]RESULTS1!$O$118</f>
        <v>0.56999999999999995</v>
      </c>
      <c r="E31">
        <f>[1]RESULTS1!$O$119</f>
        <v>0.66790000000000005</v>
      </c>
      <c r="G31">
        <f>[1]RESULTS1!$O$120</f>
        <v>0.63900000000000001</v>
      </c>
      <c r="I31">
        <f>[1]RESULTS1!$O$121</f>
        <v>0.83499999999999996</v>
      </c>
      <c r="K31">
        <f>[1]RESULTS1!$O$122</f>
        <v>1.139</v>
      </c>
      <c r="M31">
        <f>[1]RESULTS1!$O$123</f>
        <v>1.246</v>
      </c>
      <c r="O31">
        <f>[1]RESULTS1!$O$124</f>
        <v>4.2839999999999998</v>
      </c>
      <c r="Q31">
        <f>[1]RESULTS1!$O$126</f>
        <v>10.35</v>
      </c>
      <c r="S31">
        <f>[1]RESULTS1!$O$127</f>
        <v>7.1139999999999999</v>
      </c>
      <c r="U31">
        <f>[1]RESULTS1!$O$128</f>
        <v>8.0890000000000004</v>
      </c>
    </row>
    <row r="32" spans="1:21" x14ac:dyDescent="0.2">
      <c r="A32" t="s">
        <v>62</v>
      </c>
      <c r="C32" s="4">
        <f>[1]RESULTS1!$P$118</f>
        <v>0.56999999999999995</v>
      </c>
      <c r="E32" s="17">
        <f>[1]RESULTS1!$P$119</f>
        <v>0.52097499999999997</v>
      </c>
      <c r="G32" s="17">
        <f>[1]RESULTS1!$P$120</f>
        <v>0.63900000000000001</v>
      </c>
      <c r="I32" s="17">
        <f>[1]RESULTS1!$P$121</f>
        <v>0.63607999999999998</v>
      </c>
      <c r="K32" s="17">
        <f>[1]RESULTS1!$P$122</f>
        <v>0.92745</v>
      </c>
      <c r="M32" s="17">
        <f>[1]RESULTS1!$P$123</f>
        <v>0.98490000000000022</v>
      </c>
      <c r="O32" s="17">
        <f>[1]RESULTS1!$P$124</f>
        <v>2.9170000000000003</v>
      </c>
      <c r="Q32" s="17">
        <f>[1]RESULTS1!$P$126</f>
        <v>8.9320000000000004</v>
      </c>
      <c r="S32" s="17">
        <f>[1]RESULTS1!$P$127</f>
        <v>6.0437142857142856</v>
      </c>
      <c r="U32" s="17">
        <f>[1]RESULTS1!$P$128</f>
        <v>7.0451428571428565</v>
      </c>
    </row>
    <row r="33" spans="1:21" x14ac:dyDescent="0.2">
      <c r="A33" t="s">
        <v>4</v>
      </c>
      <c r="C33" s="4">
        <f>SUM([20]case200!$C$2:$C$8761)/3600/1000000</f>
        <v>0.58684402733330787</v>
      </c>
      <c r="D33" t="s">
        <v>18</v>
      </c>
      <c r="E33" s="4">
        <f>SUM([21]case210!$C$2:$C$8761)/3600/1000000</f>
        <v>0.36522379256277654</v>
      </c>
      <c r="G33" s="4">
        <f>SUM([22]case215!$C$2:$C$8761)/3600/1000000</f>
        <v>0.64347935779308985</v>
      </c>
      <c r="I33" s="4">
        <f>SUM([23]case220!$C$2:$C$8761)/3600/1000000</f>
        <v>0.4066270419057077</v>
      </c>
      <c r="K33" s="4">
        <f>SUM([24]case230!$C$2:$C$8761)/3600/1000000</f>
        <v>0.69576001110474694</v>
      </c>
      <c r="M33" s="4">
        <f>SUM([25]case240!$C$2:$C$8761)/3600/1000000</f>
        <v>0.70436287920187224</v>
      </c>
      <c r="O33" s="4">
        <f>SUM([26]case250!$C$2:$C$8761)/3600/1000000</f>
        <v>3.1632370875328339</v>
      </c>
      <c r="Q33" s="4">
        <f>SUM([27]case270!$C$2:$C$8761)/3600/1000000</f>
        <v>8.4893842248408244</v>
      </c>
      <c r="S33" s="4">
        <f>SUM([28]case280!$C$2:$C$8761)/3600/1000000</f>
        <v>5.4978356573099099</v>
      </c>
      <c r="U33" s="4">
        <f>SUM([29]case290!$C$2:$C$8761)/3600/1000000</f>
        <v>6.392779926925102</v>
      </c>
    </row>
    <row r="34" spans="1:21" x14ac:dyDescent="0.2">
      <c r="A34" t="s">
        <v>9</v>
      </c>
      <c r="C34" s="5">
        <f>(C33-C32)/C32</f>
        <v>2.9550925146154251E-2</v>
      </c>
      <c r="E34" s="5">
        <f>(E33-E32)/E32</f>
        <v>-0.29896100088722766</v>
      </c>
      <c r="G34" s="5">
        <f>(G33-G32)/G32</f>
        <v>7.0099495979496608E-3</v>
      </c>
      <c r="I34" s="5">
        <f>(I33-I32)/I32</f>
        <v>-0.36072971653611541</v>
      </c>
      <c r="K34" s="5">
        <f>(K33-K32)/K32</f>
        <v>-0.24981399417246541</v>
      </c>
      <c r="M34" s="5">
        <f>(M33-M32)/M32</f>
        <v>-0.28483817727498012</v>
      </c>
      <c r="O34" s="5">
        <f>(O33-O32)/O32</f>
        <v>8.4414496925894297E-2</v>
      </c>
      <c r="Q34" s="5">
        <f>(Q33-Q32)/Q32</f>
        <v>-4.9553938105595156E-2</v>
      </c>
      <c r="S34" s="5">
        <f>(S33-S32)/S32</f>
        <v>-9.0321713204524895E-2</v>
      </c>
      <c r="U34" s="5">
        <f>(U33-U32)/U32</f>
        <v>-9.2597544641176935E-2</v>
      </c>
    </row>
    <row r="35" spans="1:21" x14ac:dyDescent="0.2">
      <c r="A35" s="14" t="s">
        <v>56</v>
      </c>
      <c r="B35" s="3"/>
      <c r="C35" s="6" t="str">
        <f>IF(C33&gt;=C30,IF(C33&lt;=C31,"YES","NO"),"NO")</f>
        <v>NO</v>
      </c>
      <c r="D35" s="3"/>
      <c r="E35" s="6" t="str">
        <f>IF(E33&gt;=E30,IF(E33&lt;=E31,"YES","NO"),"NO")</f>
        <v>YES</v>
      </c>
      <c r="F35" s="3"/>
      <c r="G35" s="6" t="str">
        <f>IF(G33&gt;=G30,IF(G33&lt;=G31,"YES","NO"),"NO")</f>
        <v>NO</v>
      </c>
      <c r="H35" s="3"/>
      <c r="I35" s="6" t="str">
        <f>IF(I33&gt;=I30,IF(I33&lt;=I31,"YES","NO"),"NO")</f>
        <v>YES</v>
      </c>
      <c r="J35" s="3"/>
      <c r="K35" s="6" t="str">
        <f>IF(K33&gt;=K30,IF(K33&lt;=K31,"YES","NO"),"NO")</f>
        <v>YES</v>
      </c>
      <c r="M35" s="6" t="str">
        <f>IF(M33&gt;=M30,IF(M33&lt;=M31,"YES","NO"),"NO")</f>
        <v>YES</v>
      </c>
      <c r="O35" s="6" t="str">
        <f>IF(O33&gt;=O30,IF(O33&lt;=O31,"YES","NO"),"NO")</f>
        <v>YES</v>
      </c>
      <c r="Q35" s="6" t="str">
        <f>IF(Q33&gt;=Q30,IF(Q33&lt;=Q31,"YES","NO"),"NO")</f>
        <v>YES</v>
      </c>
      <c r="S35" s="6" t="str">
        <f>IF(S33&gt;=S30,IF(S33&lt;=S31,"YES","NO"),"NO")</f>
        <v>YES</v>
      </c>
      <c r="U35" s="6" t="str">
        <f>IF(U33&gt;=U30,IF(U33&lt;=U31,"YES","NO"),"NO")</f>
        <v>YES</v>
      </c>
    </row>
    <row r="36" spans="1:21" x14ac:dyDescent="0.2">
      <c r="A36" s="14"/>
      <c r="B36" s="3"/>
      <c r="C36" s="6"/>
      <c r="D36" s="3"/>
      <c r="E36" s="6"/>
      <c r="F36" s="3"/>
      <c r="G36" s="6"/>
      <c r="H36" s="3"/>
      <c r="I36" s="6"/>
      <c r="J36" s="3"/>
      <c r="K36" s="6"/>
      <c r="M36" s="6"/>
      <c r="O36" s="6"/>
      <c r="Q36" s="6"/>
      <c r="S36" s="6"/>
      <c r="U36" s="6"/>
    </row>
    <row r="38" spans="1:21" x14ac:dyDescent="0.2">
      <c r="A38" s="1" t="s">
        <v>7</v>
      </c>
    </row>
    <row r="39" spans="1:21" x14ac:dyDescent="0.2">
      <c r="A39" t="s">
        <v>54</v>
      </c>
      <c r="C39">
        <f>[1]RESULTS1!$N$166</f>
        <v>2.6509999999999998</v>
      </c>
      <c r="E39">
        <f>[1]RESULTS1!$N$167</f>
        <v>2.7010000000000001</v>
      </c>
      <c r="G39">
        <f>[1]RESULTS1!$N$168</f>
        <v>2.7869999999999999</v>
      </c>
      <c r="I39">
        <f>[1]RESULTS1!$N$169</f>
        <v>2.867</v>
      </c>
      <c r="K39">
        <f>[1]RESULTS1!$N$170</f>
        <v>4.3860000000000001</v>
      </c>
      <c r="M39">
        <f>[1]RESULTS1!$N$171</f>
        <v>2.6850000000000001</v>
      </c>
      <c r="O39">
        <f>[1]RESULTS1!$N$172</f>
        <v>2.8660000000000001</v>
      </c>
      <c r="Q39">
        <f>[1]RESULTS1!$N$174</f>
        <v>2.863</v>
      </c>
      <c r="S39">
        <f>[1]RESULTS1!$N$175</f>
        <v>2.8639999999999999</v>
      </c>
      <c r="U39">
        <f>[1]RESULTS1!$N$176</f>
        <v>2.863</v>
      </c>
    </row>
    <row r="40" spans="1:21" x14ac:dyDescent="0.2">
      <c r="A40" t="s">
        <v>55</v>
      </c>
      <c r="C40">
        <f>[1]RESULTS1!$O$166</f>
        <v>2.6509999999999998</v>
      </c>
      <c r="E40">
        <f>[1]RESULTS1!$O$167</f>
        <v>3.3250000000000002</v>
      </c>
      <c r="G40">
        <f>[1]RESULTS1!$O$168</f>
        <v>2.7869999999999999</v>
      </c>
      <c r="I40">
        <f>[1]RESULTS1!$O$169</f>
        <v>3.6949999999999998</v>
      </c>
      <c r="K40">
        <f>[1]RESULTS1!$O$170</f>
        <v>5.2789999999999999</v>
      </c>
      <c r="M40">
        <f>[1]RESULTS1!$O$171</f>
        <v>3.4950000000000001</v>
      </c>
      <c r="O40">
        <f>[1]RESULTS1!$O$172</f>
        <v>3.6949999999999998</v>
      </c>
      <c r="Q40">
        <f>[1]RESULTS1!$O$174</f>
        <v>3.738</v>
      </c>
      <c r="S40">
        <f>[1]RESULTS1!$O$175</f>
        <v>3.7589999999999999</v>
      </c>
      <c r="U40">
        <f>[1]RESULTS1!$O$176</f>
        <v>3.738</v>
      </c>
    </row>
    <row r="41" spans="1:21" x14ac:dyDescent="0.2">
      <c r="A41" t="s">
        <v>62</v>
      </c>
      <c r="C41" s="17">
        <f>[1]RESULTS1!$P$166</f>
        <v>2.6509999999999998</v>
      </c>
      <c r="E41" s="17">
        <f>[1]RESULTS1!$P$167</f>
        <v>2.99488888888889</v>
      </c>
      <c r="G41" s="17">
        <f>[1]RESULTS1!$P$168</f>
        <v>2.7869999999999999</v>
      </c>
      <c r="I41" s="17">
        <f>[1]RESULTS1!$P$169</f>
        <v>3.3373456790123455</v>
      </c>
      <c r="K41" s="17">
        <f>[1]RESULTS1!$P$170</f>
        <v>4.9475185185185193</v>
      </c>
      <c r="M41" s="17">
        <f>[1]RESULTS1!$P$171</f>
        <v>3.1520864197530867</v>
      </c>
      <c r="O41" s="17">
        <f>[1]RESULTS1!$P$172</f>
        <v>3.3440138888888886</v>
      </c>
      <c r="Q41" s="17">
        <f>[1]RESULTS1!$P$174</f>
        <v>3.3750222222222219</v>
      </c>
      <c r="S41" s="17">
        <f>[1]RESULTS1!$P$175</f>
        <v>3.3844222222222222</v>
      </c>
      <c r="U41" s="17">
        <f>[1]RESULTS1!$P$176</f>
        <v>3.3733555555555563</v>
      </c>
    </row>
    <row r="42" spans="1:21" x14ac:dyDescent="0.2">
      <c r="A42" t="s">
        <v>4</v>
      </c>
      <c r="C42" s="4">
        <f>MAX([20]case200!$B$2:$B$8761)/3600/1000</f>
        <v>2.8519532280808608</v>
      </c>
      <c r="E42" s="4">
        <f>MAX([21]case210!$B$2:$B$8761)/3600/1000</f>
        <v>3.0402873788334999</v>
      </c>
      <c r="G42" s="4">
        <f>MAX([22]case215!$B$2:$B$8761)/3600/1000</f>
        <v>3.0310267658263887</v>
      </c>
      <c r="I42" s="4">
        <f>MAX([23]case220!$B$2:$B$8761)/3600/1000</f>
        <v>3.2430750126450558</v>
      </c>
      <c r="K42" s="4">
        <f>MAX([24]case230!$B$2:$B$8761)/3600/1000</f>
        <v>5.0635503595001383</v>
      </c>
      <c r="M42" s="4">
        <f>MAX([25]case240!$B$2:$B$8761)/3600/1000</f>
        <v>3.0594882627563886</v>
      </c>
      <c r="O42" s="4">
        <f>MAX([26]case250!$B$2:$B$8761)/3600/1000</f>
        <v>3.2429783124184168</v>
      </c>
      <c r="Q42" s="4">
        <f>MAX([27]case270!$B$2:$B$8761)/3600/1000</f>
        <v>3.0235376781965</v>
      </c>
      <c r="S42" s="4">
        <f>MAX([28]case280!$B$2:$B$8761)/3600/1000</f>
        <v>3.0238077177908611</v>
      </c>
      <c r="U42" s="4">
        <f>MAX([29]case290!$B$2:$B$8761)/3600/1000</f>
        <v>3.0130451599766945</v>
      </c>
    </row>
    <row r="43" spans="1:21" x14ac:dyDescent="0.2">
      <c r="A43" t="s">
        <v>9</v>
      </c>
      <c r="C43" s="5">
        <f>(C42-C41)/C41</f>
        <v>7.5802801992026048E-2</v>
      </c>
      <c r="E43" s="5">
        <f>(E42-E41)/E41</f>
        <v>1.5158655839633755E-2</v>
      </c>
      <c r="G43" s="5">
        <f>(G42-G41)/G41</f>
        <v>8.7558940016644715E-2</v>
      </c>
      <c r="I43" s="5">
        <f>(I42-I41)/I41</f>
        <v>-2.8247198652549568E-2</v>
      </c>
      <c r="K43" s="5">
        <f>(K42-K41)/K41</f>
        <v>2.34525329308648E-2</v>
      </c>
      <c r="M43" s="5">
        <f>(M42-M41)/M41</f>
        <v>-2.9376782443658878E-2</v>
      </c>
      <c r="O43" s="5">
        <f>(O42-O41)/O41</f>
        <v>-3.021386268944079E-2</v>
      </c>
      <c r="Q43" s="5">
        <f>(Q42-Q41)/Q41</f>
        <v>-0.10414288288575869</v>
      </c>
      <c r="S43" s="5">
        <f>(S42-S41)/S41</f>
        <v>-0.10655127544771305</v>
      </c>
      <c r="U43" s="5">
        <f>(U42-U41)/U41</f>
        <v>-0.10681067846093753</v>
      </c>
    </row>
    <row r="44" spans="1:21" x14ac:dyDescent="0.2">
      <c r="A44" s="14" t="s">
        <v>56</v>
      </c>
      <c r="C44" s="6" t="str">
        <f>IF(C42&gt;=C39,IF(C42&lt;=C40,"YES","NO"),"NO")</f>
        <v>NO</v>
      </c>
      <c r="E44" s="6" t="str">
        <f>IF(E42&gt;=E39,IF(E42&lt;=E40,"YES","NO"),"NO")</f>
        <v>YES</v>
      </c>
      <c r="G44" s="6" t="str">
        <f>IF(G42&gt;=G39,IF(G42&lt;=G40,"YES","NO"),"NO")</f>
        <v>NO</v>
      </c>
      <c r="I44" s="6" t="str">
        <f>IF(I42&gt;=I39,IF(I42&lt;=I40,"YES","NO"),"NO")</f>
        <v>YES</v>
      </c>
      <c r="K44" s="6" t="str">
        <f>IF(K42&gt;=K39,IF(K42&lt;=K40,"YES","NO"),"NO")</f>
        <v>YES</v>
      </c>
      <c r="M44" s="6" t="str">
        <f>IF(M42&gt;=M39,IF(M42&lt;=M40,"YES","NO"),"NO")</f>
        <v>YES</v>
      </c>
      <c r="O44" s="6" t="str">
        <f>IF(O42&gt;=O39,IF(O42&lt;=O40,"YES","NO"),"NO")</f>
        <v>YES</v>
      </c>
      <c r="Q44" s="6" t="str">
        <f>IF(Q42&gt;=Q39,IF(Q42&lt;=Q40,"YES","NO"),"NO")</f>
        <v>YES</v>
      </c>
      <c r="S44" s="6" t="str">
        <f>IF(S42&gt;=S39,IF(S42&lt;=S40,"YES","NO"),"NO")</f>
        <v>YES</v>
      </c>
      <c r="U44" s="6" t="str">
        <f>IF(U42&gt;=U39,IF(U42&lt;=U40,"YES","NO"),"NO")</f>
        <v>YES</v>
      </c>
    </row>
    <row r="45" spans="1:21" x14ac:dyDescent="0.2">
      <c r="A45" s="14"/>
      <c r="C45" s="6"/>
      <c r="E45" s="6"/>
      <c r="G45" s="6"/>
      <c r="I45" s="6"/>
      <c r="K45" s="6"/>
      <c r="M45" s="6"/>
      <c r="O45" s="6"/>
      <c r="Q45" s="6"/>
      <c r="S45" s="6"/>
      <c r="U45" s="6"/>
    </row>
    <row r="47" spans="1:21" x14ac:dyDescent="0.2">
      <c r="A47" s="1" t="s">
        <v>8</v>
      </c>
    </row>
    <row r="48" spans="1:21" x14ac:dyDescent="0.2">
      <c r="A48" t="s">
        <v>54</v>
      </c>
      <c r="C48">
        <f>[1]RESULTS1!$N$212</f>
        <v>0.86299999999999999</v>
      </c>
      <c r="E48">
        <f>[1]RESULTS1!$N$213</f>
        <v>0.47599999999999998</v>
      </c>
      <c r="G48">
        <f>[1]RESULTS1!$N$214</f>
        <v>1.0069999999999999</v>
      </c>
      <c r="I48">
        <f>[1]RESULTS1!$N$215</f>
        <v>0.56000000000000005</v>
      </c>
      <c r="K48">
        <f>[1]RESULTS1!$N$216</f>
        <v>1.0589999999999999</v>
      </c>
      <c r="M48">
        <f>[1]RESULTS1!$N$217</f>
        <v>0.73899999999999999</v>
      </c>
      <c r="O48">
        <f>[1]RESULTS1!$N$218</f>
        <v>2.258</v>
      </c>
      <c r="Q48">
        <f>[1]RESULTS1!$N$220</f>
        <v>6.3559999999999999</v>
      </c>
      <c r="S48">
        <f>[1]RESULTS1!$N$221</f>
        <v>4.444</v>
      </c>
      <c r="U48">
        <f>[1]RESULTS1!$N$222</f>
        <v>6.2027777777777802</v>
      </c>
    </row>
    <row r="49" spans="1:21" x14ac:dyDescent="0.2">
      <c r="A49" t="s">
        <v>55</v>
      </c>
      <c r="C49" s="15">
        <f>[1]RESULTS1!$O$212</f>
        <v>0.86299999999999999</v>
      </c>
      <c r="E49" s="15">
        <f>[1]RESULTS1!$O$213</f>
        <v>1.1419999999999999</v>
      </c>
      <c r="G49" s="15">
        <f>[1]RESULTS1!$O$214</f>
        <v>1.0069999999999999</v>
      </c>
      <c r="I49" s="15">
        <f>[1]RESULTS1!$O$215</f>
        <v>1.34</v>
      </c>
      <c r="K49" s="15">
        <f>[1]RESULTS1!$O$216</f>
        <v>1.875</v>
      </c>
      <c r="M49" s="15">
        <f>[1]RESULTS1!$O$217</f>
        <v>1.54</v>
      </c>
      <c r="O49" s="15">
        <f>[1]RESULTS1!$O$218</f>
        <v>4.9119999999999999</v>
      </c>
      <c r="Q49" s="15">
        <f>[1]RESULTS1!$O$220</f>
        <v>7.234</v>
      </c>
      <c r="S49" s="15">
        <f>[1]RESULTS1!$O$221</f>
        <v>5.2359999999999998</v>
      </c>
      <c r="U49" s="15">
        <f>[1]RESULTS1!$O$222</f>
        <v>6.976</v>
      </c>
    </row>
    <row r="50" spans="1:21" x14ac:dyDescent="0.2">
      <c r="A50" t="s">
        <v>62</v>
      </c>
      <c r="C50" s="18">
        <f>[1]RESULTS1!$P$212</f>
        <v>0.86299999999999999</v>
      </c>
      <c r="E50" s="17">
        <f>[1]RESULTS1!$P$213</f>
        <v>0.92569444444444493</v>
      </c>
      <c r="G50" s="17">
        <f>[1]RESULTS1!$P$214</f>
        <v>1.0069999999999999</v>
      </c>
      <c r="I50" s="17">
        <f>[1]RESULTS1!$P$215</f>
        <v>1.0897654320987655</v>
      </c>
      <c r="K50" s="17">
        <f>[1]RESULTS1!$P$216</f>
        <v>1.5980864197530866</v>
      </c>
      <c r="M50" s="17">
        <f>[1]RESULTS1!$P$217</f>
        <v>1.2735987654320988</v>
      </c>
      <c r="O50" s="17">
        <f>[1]RESULTS1!$P$218</f>
        <v>3.1331975308641979</v>
      </c>
      <c r="Q50" s="17">
        <f>[1]RESULTS1!$P$220</f>
        <v>6.7604126984126989</v>
      </c>
      <c r="S50" s="17">
        <f>[1]RESULTS1!$P$221</f>
        <v>4.7970158730158721</v>
      </c>
      <c r="U50" s="17">
        <f>[1]RESULTS1!$P$222</f>
        <v>6.5301296296296307</v>
      </c>
    </row>
    <row r="51" spans="1:21" x14ac:dyDescent="0.2">
      <c r="A51" t="s">
        <v>4</v>
      </c>
      <c r="C51" s="4">
        <f>MAX([20]case200!$C$2:$C$8761)/3600/1000</f>
        <v>0.97394864397314718</v>
      </c>
      <c r="E51" s="4">
        <f>MAX([21]case210!$C$2:$C$8761)/3600/1000</f>
        <v>0.81135953264226379</v>
      </c>
      <c r="G51" s="4">
        <f>MAX([22]case215!$C$2:$C$8761)/3600/1000</f>
        <v>1.0732324988085056</v>
      </c>
      <c r="I51" s="4">
        <f>MAX([23]case220!$C$2:$C$8761)/3600/1000</f>
        <v>0.90992020627530557</v>
      </c>
      <c r="K51" s="4">
        <f>MAX([24]case230!$C$2:$C$8761)/3600/1000</f>
        <v>1.406607502626178</v>
      </c>
      <c r="M51" s="4">
        <f>MAX([25]case240!$C$2:$C$8761)/3600/1000</f>
        <v>1.0925645668572557</v>
      </c>
      <c r="O51" s="4">
        <f>MAX([26]case250!$C$2:$C$8761)/3600/1000</f>
        <v>3.0465331436656111</v>
      </c>
      <c r="Q51" s="4">
        <f>MAX([27]case270!$C$2:$C$8761)/3600/1000</f>
        <v>6.8352976383044721</v>
      </c>
      <c r="S51" s="4">
        <f>MAX([28]case280!$C$2:$C$8761)/3600/1000</f>
        <v>4.7125845092978889</v>
      </c>
      <c r="U51" s="4">
        <f>MAX([29]case290!$C$2:$C$8761)/3600/1000</f>
        <v>6.7083658188848334</v>
      </c>
    </row>
    <row r="52" spans="1:21" x14ac:dyDescent="0.2">
      <c r="A52" t="s">
        <v>9</v>
      </c>
      <c r="C52" s="5">
        <f>(C51-C50)/C50</f>
        <v>0.12856158050190869</v>
      </c>
      <c r="E52" s="5">
        <f>(E51-E50)/E50</f>
        <v>-0.12351258289207859</v>
      </c>
      <c r="G52" s="5">
        <f>(G51-G50)/G50</f>
        <v>6.5772094149459476E-2</v>
      </c>
      <c r="I52" s="5">
        <f>(I51-I50)/I50</f>
        <v>-0.16503113470675823</v>
      </c>
      <c r="K52" s="5">
        <f>(K51-K50)/K50</f>
        <v>-0.11981762360291708</v>
      </c>
      <c r="M52" s="5">
        <f>(M51-M50)/M50</f>
        <v>-0.14214382385446406</v>
      </c>
      <c r="O52" s="5">
        <f>(O51-O50)/O50</f>
        <v>-2.7660045798224241E-2</v>
      </c>
      <c r="Q52" s="5">
        <f>(Q51-Q50)/Q50</f>
        <v>1.1076977579986463E-2</v>
      </c>
      <c r="S52" s="5">
        <f>(S51-S50)/S50</f>
        <v>-1.7600809743600333E-2</v>
      </c>
      <c r="U52" s="5">
        <f>(U51-U50)/U50</f>
        <v>2.7294433550978634E-2</v>
      </c>
    </row>
    <row r="53" spans="1:21" x14ac:dyDescent="0.2">
      <c r="A53" s="14" t="s">
        <v>56</v>
      </c>
      <c r="C53" s="6" t="str">
        <f>IF(C51&gt;=C48,IF(C51&lt;=C49,"YES","NO"),"NO")</f>
        <v>NO</v>
      </c>
      <c r="E53" s="6" t="str">
        <f>IF(E51&gt;=E48,IF(E51&lt;=E49,"YES","NO"),"NO")</f>
        <v>YES</v>
      </c>
      <c r="G53" s="6" t="str">
        <f>IF(G51&gt;=G48,IF(G51&lt;=G49,"YES","NO"),"NO")</f>
        <v>NO</v>
      </c>
      <c r="I53" s="6" t="str">
        <f>IF(I51&gt;=I48,IF(I51&lt;=I49,"YES","NO"),"NO")</f>
        <v>YES</v>
      </c>
      <c r="K53" s="6" t="str">
        <f>IF(K51&gt;=K48,IF(K51&lt;=K49,"YES","NO"),"NO")</f>
        <v>YES</v>
      </c>
      <c r="M53" s="6" t="str">
        <f>IF(M51&gt;=M48,IF(M51&lt;=M49,"YES","NO"),"NO")</f>
        <v>YES</v>
      </c>
      <c r="O53" s="6" t="str">
        <f>IF(O51&gt;=O48,IF(O51&lt;=O49,"YES","NO"),"NO")</f>
        <v>YES</v>
      </c>
      <c r="Q53" s="6" t="str">
        <f>IF(Q51&gt;=Q48,IF(Q51&lt;=Q49,"YES","NO"),"NO")</f>
        <v>YES</v>
      </c>
      <c r="S53" s="6" t="str">
        <f>IF(S51&gt;=S48,IF(S51&lt;=S49,"YES","NO"),"NO")</f>
        <v>YES</v>
      </c>
      <c r="U53" s="6" t="str">
        <f>IF(U51&gt;=U48,IF(U51&lt;=U49,"YES","NO"),"NO")</f>
        <v>YES</v>
      </c>
    </row>
  </sheetData>
  <phoneticPr fontId="0" type="noConversion"/>
  <pageMargins left="0.25" right="0" top="0.25" bottom="0.25" header="0.5" footer="0.2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workbookViewId="0">
      <selection activeCell="A3" sqref="A3"/>
    </sheetView>
  </sheetViews>
  <sheetFormatPr defaultRowHeight="12.75" x14ac:dyDescent="0.2"/>
  <cols>
    <col min="1" max="1" width="13.140625" customWidth="1"/>
    <col min="2" max="2" width="10" customWidth="1"/>
    <col min="3" max="3" width="10" bestFit="1" customWidth="1"/>
    <col min="4" max="4" width="22.140625" customWidth="1"/>
    <col min="6" max="6" width="16.7109375" customWidth="1"/>
    <col min="8" max="8" width="16.7109375" customWidth="1"/>
    <col min="9" max="9" width="2.5703125" customWidth="1"/>
    <col min="10" max="13" width="11.7109375" customWidth="1"/>
  </cols>
  <sheetData>
    <row r="1" spans="1:7" ht="18" x14ac:dyDescent="0.25">
      <c r="A1" s="2" t="s">
        <v>268</v>
      </c>
    </row>
    <row r="2" spans="1:7" ht="15" x14ac:dyDescent="0.25">
      <c r="A2" s="12" t="s">
        <v>269</v>
      </c>
    </row>
    <row r="4" spans="1:7" x14ac:dyDescent="0.2">
      <c r="A4" s="1" t="s">
        <v>123</v>
      </c>
    </row>
    <row r="5" spans="1:7" x14ac:dyDescent="0.2">
      <c r="A5" s="1" t="s">
        <v>70</v>
      </c>
    </row>
    <row r="8" spans="1:7" ht="15" x14ac:dyDescent="0.25">
      <c r="A8" s="12"/>
    </row>
    <row r="9" spans="1:7" ht="15" x14ac:dyDescent="0.25">
      <c r="A9" s="12" t="s">
        <v>46</v>
      </c>
    </row>
    <row r="11" spans="1:7" x14ac:dyDescent="0.2">
      <c r="A11" s="1" t="s">
        <v>10</v>
      </c>
      <c r="C11" s="10">
        <v>300</v>
      </c>
      <c r="D11" s="1"/>
      <c r="E11" s="10">
        <v>310</v>
      </c>
      <c r="G11" s="10">
        <v>320</v>
      </c>
    </row>
    <row r="12" spans="1:7" x14ac:dyDescent="0.2">
      <c r="C12" s="1"/>
      <c r="D12" s="1"/>
      <c r="E12" s="1"/>
      <c r="G12" s="1"/>
    </row>
    <row r="13" spans="1:7" x14ac:dyDescent="0.2">
      <c r="A13" s="1" t="s">
        <v>0</v>
      </c>
      <c r="C13" s="1" t="s">
        <v>30</v>
      </c>
      <c r="D13" s="1"/>
      <c r="E13" s="1" t="s">
        <v>31</v>
      </c>
      <c r="G13" s="1" t="s">
        <v>91</v>
      </c>
    </row>
    <row r="14" spans="1:7" x14ac:dyDescent="0.2">
      <c r="C14" s="4" t="s">
        <v>29</v>
      </c>
      <c r="E14" t="s">
        <v>74</v>
      </c>
      <c r="G14" t="s">
        <v>92</v>
      </c>
    </row>
    <row r="15" spans="1:7" x14ac:dyDescent="0.2">
      <c r="C15" s="4" t="s">
        <v>71</v>
      </c>
      <c r="E15" t="s">
        <v>33</v>
      </c>
      <c r="G15" t="s">
        <v>93</v>
      </c>
    </row>
    <row r="16" spans="1:7" x14ac:dyDescent="0.2">
      <c r="C16" s="4" t="s">
        <v>72</v>
      </c>
      <c r="E16" t="s">
        <v>34</v>
      </c>
      <c r="G16" t="s">
        <v>94</v>
      </c>
    </row>
    <row r="17" spans="1:8" x14ac:dyDescent="0.2">
      <c r="C17" s="4" t="s">
        <v>73</v>
      </c>
      <c r="E17" t="s">
        <v>35</v>
      </c>
      <c r="G17" t="s">
        <v>18</v>
      </c>
    </row>
    <row r="20" spans="1:8" x14ac:dyDescent="0.2">
      <c r="A20" s="1" t="s">
        <v>5</v>
      </c>
    </row>
    <row r="21" spans="1:8" x14ac:dyDescent="0.2">
      <c r="A21" t="s">
        <v>54</v>
      </c>
      <c r="C21">
        <f>[1]RESULTS1!$N$84</f>
        <v>4.7610000000000001</v>
      </c>
      <c r="E21" s="4">
        <f>[1]RESULTS1!$N$85</f>
        <v>5.2210000000000001</v>
      </c>
      <c r="G21" s="4">
        <f>[1]RESULTS1!$N$86</f>
        <v>3.859</v>
      </c>
    </row>
    <row r="22" spans="1:8" x14ac:dyDescent="0.2">
      <c r="A22" t="s">
        <v>55</v>
      </c>
      <c r="C22">
        <f>[1]RESULTS1!$O$84</f>
        <v>5.9640000000000004</v>
      </c>
      <c r="E22">
        <f>[1]RESULTS1!$O$85</f>
        <v>6.165</v>
      </c>
      <c r="G22">
        <f>[1]RESULTS1!$O$86</f>
        <v>5.141</v>
      </c>
    </row>
    <row r="23" spans="1:8" x14ac:dyDescent="0.2">
      <c r="A23" t="s">
        <v>62</v>
      </c>
      <c r="C23" s="4">
        <f>[1]RESULTS1!$P$84</f>
        <v>5.339428571428571</v>
      </c>
      <c r="E23" s="17">
        <f>[1]RESULTS1!$P$85</f>
        <v>5.583333333333333</v>
      </c>
      <c r="G23" s="17">
        <f>[1]RESULTS1!$P$86</f>
        <v>4.4618571428571432</v>
      </c>
    </row>
    <row r="24" spans="1:8" x14ac:dyDescent="0.2">
      <c r="A24" t="s">
        <v>4</v>
      </c>
      <c r="C24" s="4">
        <f>SUM([30]case300!$B$2:$B$8761)/3600/1000000</f>
        <v>4.4977146471282641</v>
      </c>
      <c r="E24" s="4">
        <f>SUM([31]case310!$B$2:$B$8761)/3600/1000000</f>
        <v>4.7763726082176001</v>
      </c>
      <c r="G24" s="4">
        <f>SUM([32]case320!$B$2:$B$8761)/3600/1000000</f>
        <v>3.7597988209304805</v>
      </c>
    </row>
    <row r="25" spans="1:8" x14ac:dyDescent="0.2">
      <c r="A25" t="s">
        <v>9</v>
      </c>
      <c r="C25" s="5">
        <f>(C24-C23)/C23</f>
        <v>-0.1576411994355241</v>
      </c>
      <c r="E25" s="5">
        <f>(E24-E23)/E23</f>
        <v>-0.14453027912520591</v>
      </c>
      <c r="G25" s="5">
        <f>(G24-G23)/G23</f>
        <v>-0.15734666069499051</v>
      </c>
    </row>
    <row r="26" spans="1:8" x14ac:dyDescent="0.2">
      <c r="A26" s="14" t="s">
        <v>56</v>
      </c>
      <c r="B26" s="3"/>
      <c r="C26" s="6" t="str">
        <f>IF(C24&gt;=C21,IF(C24&lt;=C22,"YES","NO"),"NO")</f>
        <v>NO</v>
      </c>
      <c r="D26" s="3"/>
      <c r="E26" s="6" t="str">
        <f>IF(E24&gt;=E21,IF(E24&lt;=E22,"YES","NO"),"NO")</f>
        <v>NO</v>
      </c>
      <c r="F26" s="3"/>
      <c r="G26" s="6" t="str">
        <f>IF(G24&gt;=G21,IF(G24&lt;=G22,"YES","NO"),"NO")</f>
        <v>NO</v>
      </c>
      <c r="H26" s="3"/>
    </row>
    <row r="27" spans="1:8" x14ac:dyDescent="0.2">
      <c r="A27" s="14"/>
      <c r="B27" s="3"/>
      <c r="C27" s="6"/>
      <c r="D27" s="3"/>
      <c r="E27" s="6"/>
      <c r="F27" s="3"/>
      <c r="G27" s="6"/>
      <c r="H27" s="3"/>
    </row>
    <row r="29" spans="1:8" x14ac:dyDescent="0.2">
      <c r="A29" s="1" t="s">
        <v>6</v>
      </c>
    </row>
    <row r="30" spans="1:8" x14ac:dyDescent="0.2">
      <c r="A30" t="s">
        <v>54</v>
      </c>
      <c r="C30">
        <f>[1]RESULTS1!$N$129</f>
        <v>4.3019999999999996</v>
      </c>
      <c r="E30">
        <f>[1]RESULTS1!$N$130</f>
        <v>2.7320000000000002</v>
      </c>
      <c r="G30">
        <f>[1]RESULTS1!$N$131</f>
        <v>5.0609999999999999</v>
      </c>
    </row>
    <row r="31" spans="1:8" x14ac:dyDescent="0.2">
      <c r="A31" t="s">
        <v>55</v>
      </c>
      <c r="C31">
        <f>[1]RESULTS1!$O$129</f>
        <v>7.1</v>
      </c>
      <c r="E31">
        <f>[1]RESULTS1!$O$130</f>
        <v>5.4710000000000001</v>
      </c>
      <c r="G31">
        <f>[1]RESULTS1!$O$131</f>
        <v>7.3040000000000003</v>
      </c>
    </row>
    <row r="32" spans="1:8" x14ac:dyDescent="0.2">
      <c r="A32" t="s">
        <v>62</v>
      </c>
      <c r="C32" s="4">
        <f>[1]RESULTS1!$P$129</f>
        <v>5.8915714285714271</v>
      </c>
      <c r="E32" s="17">
        <f>[1]RESULTS1!$P$130</f>
        <v>4.3678333333333335</v>
      </c>
      <c r="G32" s="17">
        <f>[1]RESULTS1!$P$131</f>
        <v>6.0744285714285713</v>
      </c>
    </row>
    <row r="33" spans="1:8" x14ac:dyDescent="0.2">
      <c r="A33" t="s">
        <v>4</v>
      </c>
      <c r="C33" s="4">
        <f>SUM([30]case300!$C$2:$C$8761)/3600/1000000</f>
        <v>5.4660623757672901</v>
      </c>
      <c r="D33" t="s">
        <v>18</v>
      </c>
      <c r="E33" s="4">
        <f>SUM([31]case310!$C$2:$C$8761)/3600/1000000</f>
        <v>3.7381087333589287</v>
      </c>
      <c r="G33" s="4">
        <f>SUM([32]case320!$C$2:$C$8761)/3600/1000000</f>
        <v>5.8058006040700167</v>
      </c>
    </row>
    <row r="34" spans="1:8" x14ac:dyDescent="0.2">
      <c r="A34" t="s">
        <v>9</v>
      </c>
      <c r="C34" s="5">
        <f>(C33-C32)/C32</f>
        <v>-7.2223354662325351E-2</v>
      </c>
      <c r="E34" s="5">
        <f>(E33-E32)/E32</f>
        <v>-0.14417322088932075</v>
      </c>
      <c r="G34" s="5">
        <f>(G33-G32)/G32</f>
        <v>-4.4222755144749229E-2</v>
      </c>
    </row>
    <row r="35" spans="1:8" x14ac:dyDescent="0.2">
      <c r="A35" s="14" t="s">
        <v>56</v>
      </c>
      <c r="B35" s="3"/>
      <c r="C35" s="6" t="str">
        <f>IF(C33&gt;=C30,IF(C33&lt;=C31,"YES","NO"),"NO")</f>
        <v>YES</v>
      </c>
      <c r="D35" s="3"/>
      <c r="E35" s="6" t="str">
        <f>IF(E33&gt;=E30,IF(E33&lt;=E31,"YES","NO"),"NO")</f>
        <v>YES</v>
      </c>
      <c r="F35" s="3"/>
      <c r="G35" s="6" t="str">
        <f>IF(G33&gt;=G30,IF(G33&lt;=G31,"YES","NO"),"NO")</f>
        <v>YES</v>
      </c>
      <c r="H35" s="3"/>
    </row>
    <row r="36" spans="1:8" x14ac:dyDescent="0.2">
      <c r="A36" s="14"/>
      <c r="B36" s="3"/>
      <c r="C36" s="6"/>
      <c r="D36" s="3"/>
      <c r="E36" s="6"/>
      <c r="F36" s="3"/>
      <c r="G36" s="6"/>
      <c r="H36" s="3"/>
    </row>
    <row r="38" spans="1:8" x14ac:dyDescent="0.2">
      <c r="A38" s="1" t="s">
        <v>7</v>
      </c>
    </row>
    <row r="39" spans="1:8" x14ac:dyDescent="0.2">
      <c r="A39" t="s">
        <v>54</v>
      </c>
      <c r="C39">
        <f>[1]RESULTS1!$N$177</f>
        <v>3.0139999999999998</v>
      </c>
      <c r="E39">
        <f>[1]RESULTS1!$N$178</f>
        <v>3.0150000000000001</v>
      </c>
      <c r="G39">
        <f>[1]RESULTS1!$N$179</f>
        <v>2.8610000000000002</v>
      </c>
    </row>
    <row r="40" spans="1:8" x14ac:dyDescent="0.2">
      <c r="A40" t="s">
        <v>55</v>
      </c>
      <c r="C40">
        <f>[1]RESULTS1!$O$177</f>
        <v>3.77</v>
      </c>
      <c r="E40">
        <f>[1]RESULTS1!$O$178</f>
        <v>2.9933915025157778</v>
      </c>
      <c r="G40">
        <f>[1]RESULTS1!$O$179</f>
        <v>3.0226746628106667</v>
      </c>
    </row>
    <row r="41" spans="1:8" x14ac:dyDescent="0.2">
      <c r="A41" t="s">
        <v>62</v>
      </c>
      <c r="C41" s="17">
        <f>[1]RESULTS1!$P$177</f>
        <v>3.4137555555555559</v>
      </c>
      <c r="E41" s="17">
        <f>[1]RESULTS1!$P$178</f>
        <v>2.9933915025157778</v>
      </c>
      <c r="G41" s="17">
        <f>[1]RESULTS1!$P$179</f>
        <v>2.8610000000000002</v>
      </c>
    </row>
    <row r="42" spans="1:8" x14ac:dyDescent="0.2">
      <c r="A42" t="s">
        <v>4</v>
      </c>
      <c r="C42" s="4">
        <f>MAX([30]case300!$B$2:$B$8761)/3600/1000</f>
        <v>3.0137364913650275</v>
      </c>
      <c r="E42" s="4">
        <f>MAX([31]case310!$B$2:$B$8761)/3600/1000</f>
        <v>2.9933915025157778</v>
      </c>
      <c r="G42" s="4">
        <f>MAX([32]case320!$B$2:$B$8761)/3600/1000</f>
        <v>3.0226746628106667</v>
      </c>
    </row>
    <row r="43" spans="1:8" x14ac:dyDescent="0.2">
      <c r="A43" t="s">
        <v>9</v>
      </c>
      <c r="C43" s="5">
        <f>(C42-C41)/C41</f>
        <v>-0.11717859046455044</v>
      </c>
      <c r="E43" s="5">
        <f>(E42-E41)/E41</f>
        <v>0</v>
      </c>
      <c r="G43" s="5">
        <f>(G42-G41)/G41</f>
        <v>5.6509843694745349E-2</v>
      </c>
    </row>
    <row r="44" spans="1:8" x14ac:dyDescent="0.2">
      <c r="A44" s="14" t="s">
        <v>56</v>
      </c>
      <c r="C44" s="6" t="str">
        <f>IF(C42&gt;=C39,IF(C42&lt;=C40,"YES","NO"),"NO")</f>
        <v>NO</v>
      </c>
      <c r="E44" s="6" t="str">
        <f>IF(E42&gt;=E39,IF(E42&lt;=E40,"YES","NO"),"NO")</f>
        <v>NO</v>
      </c>
      <c r="G44" s="6" t="str">
        <f>IF(G42&gt;=G39,IF(G42&lt;=G40,"YES","NO"),"NO")</f>
        <v>YES</v>
      </c>
    </row>
    <row r="45" spans="1:8" x14ac:dyDescent="0.2">
      <c r="A45" s="14"/>
      <c r="C45" s="6"/>
      <c r="E45" s="6"/>
      <c r="G45" s="6"/>
    </row>
    <row r="47" spans="1:8" x14ac:dyDescent="0.2">
      <c r="A47" s="1" t="s">
        <v>8</v>
      </c>
    </row>
    <row r="48" spans="1:8" x14ac:dyDescent="0.2">
      <c r="A48" t="s">
        <v>54</v>
      </c>
      <c r="C48">
        <f>[1]RESULTS1!$N$223</f>
        <v>3.4039999999999999</v>
      </c>
      <c r="E48">
        <f>[1]RESULTS1!$N$224</f>
        <v>2.8479999999999999</v>
      </c>
      <c r="G48">
        <f>[1]RESULTS1!$N$225</f>
        <v>5.7009999999999996</v>
      </c>
    </row>
    <row r="49" spans="1:7" x14ac:dyDescent="0.2">
      <c r="A49" t="s">
        <v>55</v>
      </c>
      <c r="C49" s="15">
        <f>[1]RESULTS1!$O$223</f>
        <v>4.9290000000000003</v>
      </c>
      <c r="E49" s="15">
        <f>[1]RESULTS1!$O$224</f>
        <v>4.1639999999999997</v>
      </c>
      <c r="G49" s="15">
        <f>[1]RESULTS1!$O$225</f>
        <v>6.5529999999999999</v>
      </c>
    </row>
    <row r="50" spans="1:7" x14ac:dyDescent="0.2">
      <c r="A50" t="s">
        <v>62</v>
      </c>
      <c r="C50" s="18">
        <f>[1]RESULTS1!$P$223</f>
        <v>4.2422962962962965</v>
      </c>
      <c r="E50" s="17">
        <f>[1]RESULTS1!$P$224</f>
        <v>3.6197777777777782</v>
      </c>
      <c r="G50" s="17">
        <f>[1]RESULTS1!$P$225</f>
        <v>6.0774629629629624</v>
      </c>
    </row>
    <row r="51" spans="1:7" x14ac:dyDescent="0.2">
      <c r="A51" t="s">
        <v>4</v>
      </c>
      <c r="C51" s="4">
        <f>MAX([30]case300!$C$2:$C$8761)/3600/1000</f>
        <v>3.8984744653523333</v>
      </c>
      <c r="E51" s="4">
        <f>MAX([31]case310!$C$2:$C$8761)/3600/1000</f>
        <v>3.26302415510875</v>
      </c>
      <c r="G51" s="4">
        <f>MAX([32]case320!$C$2:$C$8761)/3600/1000</f>
        <v>6.1572171543133889</v>
      </c>
    </row>
    <row r="52" spans="1:7" x14ac:dyDescent="0.2">
      <c r="A52" t="s">
        <v>9</v>
      </c>
      <c r="C52" s="5">
        <f>(C51-C50)/C50</f>
        <v>-8.1046161543250547E-2</v>
      </c>
      <c r="E52" s="5">
        <f>(E51-E50)/E50</f>
        <v>-9.8556774633840424E-2</v>
      </c>
      <c r="G52" s="5">
        <f>(G51-G50)/G50</f>
        <v>1.3122941568950955E-2</v>
      </c>
    </row>
    <row r="53" spans="1:7" x14ac:dyDescent="0.2">
      <c r="A53" s="14" t="s">
        <v>56</v>
      </c>
      <c r="C53" s="6" t="str">
        <f>IF(C51&gt;=C48,IF(C51&lt;=C49,"YES","NO"),"NO")</f>
        <v>YES</v>
      </c>
      <c r="E53" s="6" t="str">
        <f>IF(E51&gt;=E48,IF(E51&lt;=E49,"YES","NO"),"NO")</f>
        <v>YES</v>
      </c>
      <c r="G53" s="6" t="str">
        <f>IF(G51&gt;=G48,IF(G51&lt;=G49,"YES","NO"),"NO")</f>
        <v>YES</v>
      </c>
    </row>
  </sheetData>
  <phoneticPr fontId="0" type="noConversion"/>
  <pageMargins left="0.25" right="0" top="0.25" bottom="0.25" header="0.5" footer="0.25"/>
  <pageSetup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workbookViewId="0">
      <selection activeCell="A3" sqref="A3"/>
    </sheetView>
  </sheetViews>
  <sheetFormatPr defaultRowHeight="12.75" x14ac:dyDescent="0.2"/>
  <cols>
    <col min="1" max="1" width="13.140625" customWidth="1"/>
    <col min="2" max="2" width="10" customWidth="1"/>
    <col min="3" max="3" width="9.140625" style="4"/>
    <col min="5" max="5" width="8.42578125" customWidth="1"/>
    <col min="6" max="6" width="3.5703125" customWidth="1"/>
    <col min="8" max="8" width="18.42578125" customWidth="1"/>
    <col min="9" max="9" width="10" bestFit="1" customWidth="1"/>
    <col min="10" max="10" width="22.140625" customWidth="1"/>
    <col min="12" max="12" width="16.7109375" customWidth="1"/>
    <col min="15" max="15" width="12.5703125" customWidth="1"/>
    <col min="18" max="18" width="6" customWidth="1"/>
    <col min="19" max="19" width="11.7109375" customWidth="1"/>
    <col min="20" max="20" width="9.85546875" customWidth="1"/>
    <col min="21" max="21" width="9.42578125" customWidth="1"/>
    <col min="22" max="25" width="11.7109375" customWidth="1"/>
  </cols>
  <sheetData>
    <row r="1" spans="1:22" ht="18" x14ac:dyDescent="0.25">
      <c r="A1" s="2" t="s">
        <v>268</v>
      </c>
    </row>
    <row r="2" spans="1:22" ht="15" x14ac:dyDescent="0.25">
      <c r="A2" s="12" t="s">
        <v>269</v>
      </c>
    </row>
    <row r="3" spans="1:22" x14ac:dyDescent="0.2">
      <c r="C3"/>
    </row>
    <row r="4" spans="1:22" x14ac:dyDescent="0.2">
      <c r="A4" s="1" t="s">
        <v>123</v>
      </c>
      <c r="C4"/>
    </row>
    <row r="5" spans="1:22" x14ac:dyDescent="0.2">
      <c r="A5" s="1" t="s">
        <v>70</v>
      </c>
      <c r="C5"/>
    </row>
    <row r="6" spans="1:22" x14ac:dyDescent="0.2">
      <c r="C6"/>
    </row>
    <row r="7" spans="1:22" x14ac:dyDescent="0.2">
      <c r="C7"/>
    </row>
    <row r="8" spans="1:22" ht="15" x14ac:dyDescent="0.25">
      <c r="A8" s="12"/>
      <c r="C8"/>
    </row>
    <row r="9" spans="1:22" ht="15" x14ac:dyDescent="0.25">
      <c r="A9" s="12" t="s">
        <v>46</v>
      </c>
    </row>
    <row r="10" spans="1:22" x14ac:dyDescent="0.2">
      <c r="D10" s="3"/>
    </row>
    <row r="11" spans="1:22" x14ac:dyDescent="0.2">
      <c r="A11" s="1" t="s">
        <v>10</v>
      </c>
      <c r="C11" s="11">
        <v>395</v>
      </c>
      <c r="D11" s="3"/>
      <c r="G11" s="10">
        <v>400</v>
      </c>
      <c r="H11" s="1"/>
      <c r="I11" s="10">
        <v>410</v>
      </c>
      <c r="J11" s="1"/>
      <c r="K11" s="10">
        <v>420</v>
      </c>
      <c r="M11" s="10">
        <v>430</v>
      </c>
      <c r="P11" s="10">
        <v>440</v>
      </c>
      <c r="S11" s="10">
        <v>800</v>
      </c>
      <c r="V11" s="10">
        <v>810</v>
      </c>
    </row>
    <row r="12" spans="1:22" x14ac:dyDescent="0.2">
      <c r="G12" s="1"/>
      <c r="H12" s="1"/>
      <c r="I12" s="1"/>
      <c r="J12" s="1"/>
      <c r="K12" s="1"/>
      <c r="M12" s="1"/>
      <c r="P12" s="1"/>
      <c r="S12" s="1"/>
      <c r="V12" s="1"/>
    </row>
    <row r="13" spans="1:22" x14ac:dyDescent="0.2">
      <c r="A13" s="1" t="s">
        <v>0</v>
      </c>
      <c r="C13" s="8" t="s">
        <v>75</v>
      </c>
      <c r="G13" s="1" t="s">
        <v>78</v>
      </c>
      <c r="H13" s="1"/>
      <c r="I13" s="1" t="s">
        <v>22</v>
      </c>
      <c r="J13" s="1"/>
      <c r="K13" s="1" t="s">
        <v>84</v>
      </c>
      <c r="M13" s="1" t="s">
        <v>85</v>
      </c>
      <c r="P13" s="1" t="s">
        <v>95</v>
      </c>
      <c r="S13" s="1" t="s">
        <v>88</v>
      </c>
      <c r="V13" s="1" t="s">
        <v>98</v>
      </c>
    </row>
    <row r="14" spans="1:22" x14ac:dyDescent="0.2">
      <c r="C14" s="4" t="s">
        <v>79</v>
      </c>
      <c r="G14" s="4" t="s">
        <v>76</v>
      </c>
      <c r="I14" s="4" t="s">
        <v>79</v>
      </c>
      <c r="K14" t="s">
        <v>83</v>
      </c>
      <c r="M14" t="s">
        <v>86</v>
      </c>
      <c r="P14" t="s">
        <v>96</v>
      </c>
      <c r="S14" t="s">
        <v>89</v>
      </c>
      <c r="V14" t="s">
        <v>99</v>
      </c>
    </row>
    <row r="15" spans="1:22" x14ac:dyDescent="0.2">
      <c r="C15" s="4" t="s">
        <v>80</v>
      </c>
      <c r="G15" s="4" t="s">
        <v>77</v>
      </c>
      <c r="I15" s="4" t="s">
        <v>16</v>
      </c>
      <c r="K15" t="s">
        <v>15</v>
      </c>
      <c r="M15" t="s">
        <v>87</v>
      </c>
      <c r="P15" t="s">
        <v>97</v>
      </c>
      <c r="S15" t="s">
        <v>90</v>
      </c>
      <c r="V15" t="s">
        <v>97</v>
      </c>
    </row>
    <row r="16" spans="1:22" x14ac:dyDescent="0.2">
      <c r="C16" s="4" t="s">
        <v>81</v>
      </c>
      <c r="G16" t="s">
        <v>78</v>
      </c>
      <c r="K16" t="s">
        <v>18</v>
      </c>
      <c r="M16" t="s">
        <v>18</v>
      </c>
      <c r="P16" t="s">
        <v>18</v>
      </c>
      <c r="S16" t="s">
        <v>18</v>
      </c>
      <c r="V16" t="s">
        <v>18</v>
      </c>
    </row>
    <row r="17" spans="1:22" x14ac:dyDescent="0.2">
      <c r="C17" s="4" t="s">
        <v>18</v>
      </c>
      <c r="G17" t="s">
        <v>82</v>
      </c>
      <c r="I17" s="4" t="s">
        <v>18</v>
      </c>
      <c r="K17" t="s">
        <v>18</v>
      </c>
      <c r="M17" t="s">
        <v>18</v>
      </c>
      <c r="P17" t="s">
        <v>18</v>
      </c>
      <c r="S17" t="s">
        <v>18</v>
      </c>
      <c r="V17" t="s">
        <v>18</v>
      </c>
    </row>
    <row r="18" spans="1:22" x14ac:dyDescent="0.2">
      <c r="C18" s="17" t="s">
        <v>18</v>
      </c>
      <c r="M18" t="s">
        <v>18</v>
      </c>
      <c r="P18" t="s">
        <v>18</v>
      </c>
      <c r="S18" t="s">
        <v>18</v>
      </c>
      <c r="V18" t="s">
        <v>18</v>
      </c>
    </row>
    <row r="19" spans="1:22" x14ac:dyDescent="0.2">
      <c r="C19" s="8" t="s">
        <v>18</v>
      </c>
    </row>
    <row r="20" spans="1:22" x14ac:dyDescent="0.2">
      <c r="A20" s="1" t="s">
        <v>5</v>
      </c>
    </row>
    <row r="21" spans="1:22" x14ac:dyDescent="0.2">
      <c r="A21" t="s">
        <v>54</v>
      </c>
      <c r="C21" s="4">
        <f>[1]RESULTS1!$N$88</f>
        <v>4.7990000000000004</v>
      </c>
      <c r="G21">
        <f>[1]RESULTS1!$N$89</f>
        <v>6.9</v>
      </c>
      <c r="I21">
        <f>[1]RESULTS1!$N$90</f>
        <v>8.5960000000000001</v>
      </c>
      <c r="K21" s="4">
        <f>[1]RESULTS1!$N$91</f>
        <v>7.298</v>
      </c>
      <c r="M21">
        <f>[1]RESULTS1!$N$92</f>
        <v>5.4290000000000003</v>
      </c>
      <c r="P21">
        <f>[1]RESULTS1!$N$94</f>
        <v>4.4489999999999998</v>
      </c>
      <c r="S21">
        <f>[1]RESULTS1!$N$93</f>
        <v>4.8680000000000003</v>
      </c>
      <c r="V21">
        <f>[1]RESULTS1!$N$95</f>
        <v>1.839</v>
      </c>
    </row>
    <row r="22" spans="1:22" x14ac:dyDescent="0.2">
      <c r="A22" t="s">
        <v>55</v>
      </c>
      <c r="C22" s="4">
        <f>[1]RESULTS1!$O$88</f>
        <v>5.835</v>
      </c>
      <c r="G22">
        <f>[1]RESULTS1!$O$89</f>
        <v>8.77</v>
      </c>
      <c r="I22">
        <f>[1]RESULTS1!$O$90</f>
        <v>10.506</v>
      </c>
      <c r="K22">
        <f>[1]RESULTS1!$O$91</f>
        <v>9.1509999999999998</v>
      </c>
      <c r="M22">
        <f>[1]RESULTS1!$O$92</f>
        <v>7.827</v>
      </c>
      <c r="P22">
        <f>[1]RESULTS1!$O$94</f>
        <v>5.8109999999999999</v>
      </c>
      <c r="S22" s="4">
        <f>[1]RESULTS1!$O$93</f>
        <v>7.2279999999999998</v>
      </c>
      <c r="V22" s="4">
        <f>[1]RESULTS1!$O$95</f>
        <v>3.004</v>
      </c>
    </row>
    <row r="23" spans="1:22" x14ac:dyDescent="0.2">
      <c r="A23" t="s">
        <v>62</v>
      </c>
      <c r="C23" s="4">
        <f>[1]RESULTS1!$P$88</f>
        <v>5.1292727272727268</v>
      </c>
      <c r="G23" s="21">
        <f>[1]RESULTS1!$P$89</f>
        <v>7.5323636363636357</v>
      </c>
      <c r="I23" s="4">
        <f>[1]RESULTS1!$P$90</f>
        <v>9.279272727272728</v>
      </c>
      <c r="K23" s="17">
        <f>[1]RESULTS1!$P$91</f>
        <v>7.9899090909090917</v>
      </c>
      <c r="M23" s="4">
        <f>[1]RESULTS1!$P$92</f>
        <v>6.6259999999999994</v>
      </c>
      <c r="P23" s="4">
        <f>[1]RESULTS1!$P$94</f>
        <v>5.2309999999999999</v>
      </c>
      <c r="S23" s="4">
        <f>[1]RESULTS1!$P$93</f>
        <v>5.989272727272728</v>
      </c>
      <c r="V23" s="4">
        <f>[1]RESULTS1!$P$95</f>
        <v>2.6076666666666664</v>
      </c>
    </row>
    <row r="24" spans="1:22" x14ac:dyDescent="0.2">
      <c r="A24" t="s">
        <v>4</v>
      </c>
      <c r="C24" s="4">
        <f>SUM([33]case395!$B$2:$B$8761)/3600/1000000</f>
        <v>4.9803855119909306</v>
      </c>
      <c r="G24" s="4">
        <f>SUM([34]case400!$B$2:$B$8761)/3600/1000000</f>
        <v>7.0226270960471497</v>
      </c>
      <c r="I24" s="4">
        <f>SUM([35]case410!$B$2:$B$8761)/3600/1000000</f>
        <v>8.9092396990884737</v>
      </c>
      <c r="K24" s="4">
        <f>SUM([36]case420!$B$2:$B$8761)/3600/1000000</f>
        <v>7.6519181625600403</v>
      </c>
      <c r="M24" s="4">
        <f>SUM([37]case430!$B$2:$B$8761)/3600/1000000</f>
        <v>6.0286804555798552</v>
      </c>
      <c r="P24" s="4">
        <f>SUM([38]case440!$B$2:$B$8761)/3600/1000000</f>
        <v>4.5686472426435145</v>
      </c>
      <c r="S24" s="4">
        <f>SUM([39]case800!$B$2:$B$8761)/3600/1000000</f>
        <v>5.3704987825321862</v>
      </c>
      <c r="V24" s="4">
        <f>SUM([40]case810!$B$2:$B$8761)/3600/1000000</f>
        <v>1.9716303214307982</v>
      </c>
    </row>
    <row r="25" spans="1:22" x14ac:dyDescent="0.2">
      <c r="A25" t="s">
        <v>9</v>
      </c>
      <c r="C25" s="5">
        <f>(C24-C23)/C23</f>
        <v>-2.902696409378891E-2</v>
      </c>
      <c r="G25" s="5">
        <f>(G24-G23)/G23</f>
        <v>-6.767285342620144E-2</v>
      </c>
      <c r="I25" s="5">
        <f>(I24-I23)/I23</f>
        <v>-3.9877373912794861E-2</v>
      </c>
      <c r="K25" s="5">
        <f>(K24-K23)/K23</f>
        <v>-4.230222453139261E-2</v>
      </c>
      <c r="M25" s="5">
        <f>(M24-M23)/M23</f>
        <v>-9.0147833447048645E-2</v>
      </c>
      <c r="P25" s="5">
        <f>(P24-P23)/P23</f>
        <v>-0.12662067622949444</v>
      </c>
      <c r="S25" s="20">
        <f>(S24-S23)/S23</f>
        <v>-0.10331370316848243</v>
      </c>
      <c r="V25" s="20">
        <f>(V24-V23)/V23</f>
        <v>-0.24391014134061162</v>
      </c>
    </row>
    <row r="26" spans="1:22" x14ac:dyDescent="0.2">
      <c r="A26" s="14" t="s">
        <v>56</v>
      </c>
      <c r="B26" s="3"/>
      <c r="C26" s="6" t="str">
        <f>IF(C24&gt;=C21,IF(C24&lt;=C22,"YES","NO"),"NO")</f>
        <v>YES</v>
      </c>
      <c r="D26" s="3"/>
      <c r="E26" s="3"/>
      <c r="F26" s="3"/>
      <c r="G26" s="6" t="str">
        <f>IF(G24&gt;=G21,IF(G24&lt;=G22,"YES","NO"),"NO")</f>
        <v>YES</v>
      </c>
      <c r="H26" s="3"/>
      <c r="I26" s="6" t="str">
        <f>IF(I24&gt;=I21,IF(I24&lt;=I22,"YES","NO"),"NO")</f>
        <v>YES</v>
      </c>
      <c r="J26" s="3"/>
      <c r="K26" s="6" t="str">
        <f>IF(K24&gt;=K21,IF(K24&lt;=K22,"YES","NO"),"NO")</f>
        <v>YES</v>
      </c>
      <c r="L26" s="3"/>
      <c r="M26" s="6" t="str">
        <f>IF(M24&gt;=M21,IF(M24&lt;=M22,"YES","NO"),"NO")</f>
        <v>YES</v>
      </c>
      <c r="N26" s="3"/>
      <c r="O26" s="3"/>
      <c r="P26" s="6" t="str">
        <f>IF(P24&gt;=P21,IF(P24&lt;=P22,"YES","NO"),"NO")</f>
        <v>YES</v>
      </c>
      <c r="Q26" s="3"/>
      <c r="R26" s="3"/>
      <c r="S26" s="6" t="str">
        <f>IF(S24&gt;=S21,IF(S24&lt;=S22,"YES","NO"),"NO")</f>
        <v>YES</v>
      </c>
      <c r="V26" s="6" t="str">
        <f>IF(V24&gt;=V21,IF(V24&lt;=V22,"YES","NO"),"NO")</f>
        <v>YES</v>
      </c>
    </row>
    <row r="27" spans="1:22" x14ac:dyDescent="0.2">
      <c r="A27" s="14"/>
      <c r="B27" s="3"/>
      <c r="C27" s="6"/>
      <c r="D27" s="3"/>
      <c r="E27" s="3"/>
      <c r="F27" s="3"/>
      <c r="G27" s="6"/>
      <c r="H27" s="3"/>
      <c r="I27" s="6"/>
      <c r="J27" s="3"/>
      <c r="K27" s="6"/>
      <c r="L27" s="3"/>
      <c r="M27" s="6"/>
      <c r="N27" s="3"/>
      <c r="O27" s="3"/>
      <c r="P27" s="6"/>
      <c r="Q27" s="3"/>
      <c r="R27" s="3"/>
      <c r="S27" s="6"/>
      <c r="V27" s="6"/>
    </row>
    <row r="29" spans="1:22" x14ac:dyDescent="0.2">
      <c r="A29" s="1" t="s">
        <v>6</v>
      </c>
    </row>
    <row r="30" spans="1:22" x14ac:dyDescent="0.2">
      <c r="A30" t="s">
        <v>54</v>
      </c>
      <c r="C30" s="4">
        <f>[1]RESULTS1!$N$133</f>
        <v>0</v>
      </c>
      <c r="G30">
        <f>[1]RESULTS1!$N$134</f>
        <v>0</v>
      </c>
      <c r="I30">
        <f>[1]RESULTS1!$N$135</f>
        <v>0</v>
      </c>
      <c r="K30">
        <f>[1]RESULTS1!$N$136</f>
        <v>1.0999999999999999E-2</v>
      </c>
      <c r="M30">
        <f>[1]RESULTS1!$N$137</f>
        <v>0.42199999999999999</v>
      </c>
      <c r="P30">
        <f>[1]RESULTS1!$N$139</f>
        <v>3.9670000000000001</v>
      </c>
      <c r="S30">
        <f>[1]RESULTS1!$N$138</f>
        <v>5.5E-2</v>
      </c>
      <c r="V30">
        <f>[1]RESULTS1!$N$140</f>
        <v>1.052</v>
      </c>
    </row>
    <row r="31" spans="1:22" x14ac:dyDescent="0.2">
      <c r="A31" t="s">
        <v>55</v>
      </c>
      <c r="C31" s="4">
        <f>[1]RESULTS1!$O$133</f>
        <v>1.6E-2</v>
      </c>
      <c r="G31">
        <f>[1]RESULTS1!$O$134</f>
        <v>6.0999999999999999E-2</v>
      </c>
      <c r="I31">
        <f>[1]RESULTS1!$O$135</f>
        <v>8.4000000000000005E-2</v>
      </c>
      <c r="K31">
        <f>[1]RESULTS1!$O$136</f>
        <v>0.189</v>
      </c>
      <c r="M31">
        <f>[1]RESULTS1!$O$137</f>
        <v>1.1060000000000001</v>
      </c>
      <c r="P31">
        <f>[1]RESULTS1!$O$139</f>
        <v>5.2039999999999997</v>
      </c>
      <c r="S31">
        <f>[1]RESULTS1!$O$138</f>
        <v>0.32500000000000001</v>
      </c>
      <c r="V31">
        <f>[1]RESULTS1!$O$140</f>
        <v>1.7110000000000001</v>
      </c>
    </row>
    <row r="32" spans="1:22" x14ac:dyDescent="0.2">
      <c r="A32" t="s">
        <v>62</v>
      </c>
      <c r="C32" s="4">
        <f>[1]RESULTS1!$P$133</f>
        <v>7.7781818181818169E-3</v>
      </c>
      <c r="G32" s="4">
        <f>[1]RESULTS1!$P$134</f>
        <v>3.3053636363636361E-2</v>
      </c>
      <c r="I32" s="4">
        <f>[1]RESULTS1!$P$135</f>
        <v>5.101909090909091E-2</v>
      </c>
      <c r="K32" s="17">
        <f>[1]RESULTS1!$P$136</f>
        <v>0.12708181818181818</v>
      </c>
      <c r="M32" s="4">
        <f>[1]RESULTS1!$P$137</f>
        <v>0.71399090909090901</v>
      </c>
      <c r="P32" s="4">
        <f>[1]RESULTS1!$P$139</f>
        <v>4.4841428571428574</v>
      </c>
      <c r="S32" s="4">
        <f>[1]RESULTS1!$P$138</f>
        <v>0.22584545454545457</v>
      </c>
      <c r="V32" s="4">
        <f>[1]RESULTS1!$P$140</f>
        <v>1.4485000000000001</v>
      </c>
    </row>
    <row r="33" spans="1:22" x14ac:dyDescent="0.2">
      <c r="A33" t="s">
        <v>4</v>
      </c>
      <c r="C33" s="4">
        <f>SUM([33]case395!$C$2:$C$8761)/3600/1000000</f>
        <v>4.0509518869473221E-4</v>
      </c>
      <c r="G33" s="4">
        <f>SUM([34]case400!$C$2:$C$8761)/3600/1000000</f>
        <v>5.8483483927679065E-3</v>
      </c>
      <c r="I33" s="4">
        <f>SUM([35]case410!$C$2:$C$8761)/3600/1000000</f>
        <v>1.6246202991158684E-2</v>
      </c>
      <c r="J33" t="s">
        <v>18</v>
      </c>
      <c r="K33" s="4">
        <f>SUM([36]case420!$C$2:$C$8761)/3600/1000000</f>
        <v>6.7711155145991367E-2</v>
      </c>
      <c r="M33" s="4">
        <f>SUM([37]case430!$C$2:$C$8761)/3600/1000000</f>
        <v>0.64648316119550175</v>
      </c>
      <c r="P33" s="4">
        <f>SUM([38]case440!$C$2:$C$8761)/3600/1000000</f>
        <v>4.2465707431459672</v>
      </c>
      <c r="S33" s="4">
        <f>SUM([39]case800!$C$2:$C$8761)/3600/1000000</f>
        <v>0.20334003282365518</v>
      </c>
      <c r="V33" s="4">
        <f>SUM([40]case810!$C$2:$C$8761)/3600/1000000</f>
        <v>1.205122326453655</v>
      </c>
    </row>
    <row r="34" spans="1:22" x14ac:dyDescent="0.2">
      <c r="A34" t="s">
        <v>9</v>
      </c>
      <c r="C34" s="5">
        <f>(C33-C32)/C32</f>
        <v>-0.94791903838660529</v>
      </c>
      <c r="G34" s="5">
        <f>(G33-G32)/G32</f>
        <v>-0.82306490189376236</v>
      </c>
      <c r="I34" s="5">
        <f>(I33-I32)/I32</f>
        <v>-0.68156619999154411</v>
      </c>
      <c r="K34" s="5">
        <f>(K33-K32)/K32</f>
        <v>-0.46718455783253093</v>
      </c>
      <c r="M34" s="5">
        <f>(M33-M32)/M32</f>
        <v>-9.454987036370209E-2</v>
      </c>
      <c r="P34" s="5">
        <f>(P33-P32)/P32</f>
        <v>-5.2980496287815211E-2</v>
      </c>
      <c r="S34" s="5">
        <f>(S33-S32)/S32</f>
        <v>-9.9649655411904084E-2</v>
      </c>
      <c r="V34" s="5">
        <f>(V33-V32)/V32</f>
        <v>-0.16802048570683126</v>
      </c>
    </row>
    <row r="35" spans="1:22" x14ac:dyDescent="0.2">
      <c r="A35" s="14" t="s">
        <v>56</v>
      </c>
      <c r="B35" s="3"/>
      <c r="C35" s="6" t="str">
        <f>IF(C33&gt;=C30,IF(C33&lt;=C31,"YES","NO"),"NO")</f>
        <v>YES</v>
      </c>
      <c r="D35" s="3"/>
      <c r="E35" s="3"/>
      <c r="F35" s="3"/>
      <c r="G35" s="6" t="str">
        <f>IF(G33&gt;=G30,IF(G33&lt;=G31,"YES","NO"),"NO")</f>
        <v>YES</v>
      </c>
      <c r="H35" s="3"/>
      <c r="I35" s="6" t="str">
        <f>IF(I33&gt;=I30,IF(I33&lt;=I31,"YES","NO"),"NO")</f>
        <v>YES</v>
      </c>
      <c r="J35" s="3"/>
      <c r="K35" s="6" t="str">
        <f>IF(K33&gt;=K30,IF(K33&lt;=K31,"YES","NO"),"NO")</f>
        <v>YES</v>
      </c>
      <c r="L35" s="3"/>
      <c r="M35" s="6" t="str">
        <f>IF(M33&gt;=M30,IF(M33&lt;=M31,"YES","NO"),"NO")</f>
        <v>YES</v>
      </c>
      <c r="N35" s="3"/>
      <c r="O35" s="3"/>
      <c r="P35" s="6" t="str">
        <f>IF(P33&gt;=P30,IF(P33&lt;=P31,"YES","NO"),"NO")</f>
        <v>YES</v>
      </c>
      <c r="Q35" s="3"/>
      <c r="R35" s="3"/>
      <c r="S35" s="6" t="str">
        <f>IF(S33&gt;=S30,IF(S33&lt;=S31,"YES","NO"),"NO")</f>
        <v>YES</v>
      </c>
      <c r="V35" s="6" t="str">
        <f>IF(V33&gt;=V30,IF(V33&lt;=V31,"YES","NO"),"NO")</f>
        <v>YES</v>
      </c>
    </row>
    <row r="36" spans="1:22" x14ac:dyDescent="0.2">
      <c r="A36" s="14"/>
      <c r="B36" s="3"/>
      <c r="C36" s="6"/>
      <c r="D36" s="3"/>
      <c r="E36" s="3"/>
      <c r="F36" s="3"/>
      <c r="G36" s="6"/>
      <c r="H36" s="3"/>
      <c r="I36" s="6"/>
      <c r="J36" s="3"/>
      <c r="K36" s="6"/>
      <c r="L36" s="3"/>
      <c r="M36" s="6"/>
      <c r="N36" s="3"/>
      <c r="O36" s="3"/>
      <c r="P36" s="6"/>
      <c r="Q36" s="3"/>
      <c r="R36" s="3"/>
      <c r="S36" s="6"/>
      <c r="V36" s="6"/>
    </row>
    <row r="38" spans="1:22" x14ac:dyDescent="0.2">
      <c r="A38" s="1" t="s">
        <v>7</v>
      </c>
    </row>
    <row r="39" spans="1:22" x14ac:dyDescent="0.2">
      <c r="A39" t="s">
        <v>54</v>
      </c>
      <c r="C39" s="4">
        <f>[1]RESULTS1!$N$180</f>
        <v>2.0619999999999998</v>
      </c>
      <c r="G39">
        <f>[1]RESULTS1!$N$181</f>
        <v>2.867</v>
      </c>
      <c r="I39">
        <f>[1]RESULTS1!$N$182</f>
        <v>3.625</v>
      </c>
      <c r="K39">
        <f>[1]RESULTS1!$N$183</f>
        <v>3.4430000000000001</v>
      </c>
      <c r="M39">
        <f>[1]RESULTS1!$N$184</f>
        <v>3.4420000000000002</v>
      </c>
      <c r="P39">
        <f>[1]RESULTS1!$N$186</f>
        <v>3.4390000000000001</v>
      </c>
      <c r="S39">
        <f>[1]RESULTS1!$N$185</f>
        <v>3.2269999999999999</v>
      </c>
      <c r="V39">
        <f>[1]RESULTS1!$N$187</f>
        <v>2.9790000000000001</v>
      </c>
    </row>
    <row r="40" spans="1:22" x14ac:dyDescent="0.2">
      <c r="A40" t="s">
        <v>55</v>
      </c>
      <c r="C40" s="4">
        <f>[1]RESULTS1!$O$180</f>
        <v>2.3849999999999998</v>
      </c>
      <c r="G40">
        <f>[1]RESULTS1!$O$181</f>
        <v>3.6949999999999998</v>
      </c>
      <c r="I40">
        <f>[1]RESULTS1!$O$182</f>
        <v>4.4870000000000001</v>
      </c>
      <c r="K40">
        <f>[1]RESULTS1!$O$183</f>
        <v>4.2869999999999999</v>
      </c>
      <c r="M40">
        <f>[1]RESULTS1!$O$184</f>
        <v>4.2869999999999999</v>
      </c>
      <c r="P40">
        <f>[1]RESULTS1!$O$186</f>
        <v>4.3760000000000003</v>
      </c>
      <c r="S40">
        <f>[1]RESULTS1!$O$185</f>
        <v>4.1379999999999999</v>
      </c>
      <c r="V40">
        <f>[1]RESULTS1!$O$187</f>
        <v>3.9630000000000001</v>
      </c>
    </row>
    <row r="41" spans="1:22" x14ac:dyDescent="0.2">
      <c r="A41" t="s">
        <v>62</v>
      </c>
      <c r="C41" s="17">
        <f>[1]RESULTS1!$P$180</f>
        <v>2.2549111111111109</v>
      </c>
      <c r="G41" s="17">
        <f>[1]RESULTS1!$P$181</f>
        <v>3.3306111111111107</v>
      </c>
      <c r="I41" s="17">
        <f>[1]RESULTS1!$P$182</f>
        <v>4.1251888888888883</v>
      </c>
      <c r="K41" s="17">
        <f>[1]RESULTS1!$P$183</f>
        <v>3.9406555555555558</v>
      </c>
      <c r="M41" s="17">
        <f>[1]RESULTS1!$P$184</f>
        <v>3.9416555555555584</v>
      </c>
      <c r="P41" s="17">
        <f>[1]RESULTS1!$P$186</f>
        <v>3.9929111111111126</v>
      </c>
      <c r="S41" s="17">
        <f>[1]RESULTS1!$P$185</f>
        <v>3.7755111111111113</v>
      </c>
      <c r="V41" s="17">
        <f>[1]RESULTS1!$P$187</f>
        <v>3.6057111111111118</v>
      </c>
    </row>
    <row r="42" spans="1:22" x14ac:dyDescent="0.2">
      <c r="A42" t="s">
        <v>4</v>
      </c>
      <c r="C42" s="4">
        <f>MAX([33]case395!$B$2:$B$8761)/3600/1000</f>
        <v>2.2319114425347499</v>
      </c>
      <c r="G42" s="4">
        <f>MAX([34]case400!$B$2:$B$8761)/3600/1000</f>
        <v>3.2430750126450003</v>
      </c>
      <c r="I42" s="4">
        <f>MAX([35]case410!$B$2:$B$8761)/3600/1000</f>
        <v>4.1533126860723888</v>
      </c>
      <c r="K42" s="4">
        <f>MAX([36]case420!$B$2:$B$8761)/3600/1000</f>
        <v>3.9697259361838331</v>
      </c>
      <c r="M42" s="4">
        <f>MAX([37]case430!$B$2:$B$8761)/3600/1000</f>
        <v>3.96967421158425</v>
      </c>
      <c r="P42" s="4">
        <f>MAX([38]case440!$B$2:$B$8761)/3600/1000</f>
        <v>3.7509624391844998</v>
      </c>
      <c r="S42" s="4">
        <f>MAX([39]case800!$B$2:$B$8761)/3600/1000</f>
        <v>3.7864195449437776</v>
      </c>
      <c r="V42" s="4">
        <f>MAX([40]case810!$B$2:$B$8761)/3600/1000</f>
        <v>3.3211186212755277</v>
      </c>
    </row>
    <row r="43" spans="1:22" x14ac:dyDescent="0.2">
      <c r="A43" t="s">
        <v>9</v>
      </c>
      <c r="C43" s="5">
        <f>(C42-C41)/C41</f>
        <v>-1.0199811630280987E-2</v>
      </c>
      <c r="G43" s="5">
        <f>(G42-G41)/G41</f>
        <v>-2.6282293412786911E-2</v>
      </c>
      <c r="I43" s="5">
        <f>(I42-I41)/I41</f>
        <v>6.8175780409113658E-3</v>
      </c>
      <c r="K43" s="5">
        <f>(K42-K41)/K41</f>
        <v>7.377041768416857E-3</v>
      </c>
      <c r="M43" s="5">
        <f>(M42-M41)/M41</f>
        <v>7.1083471484972485E-3</v>
      </c>
      <c r="P43" s="5">
        <f>(P42-P41)/P41</f>
        <v>-6.0594554998567314E-2</v>
      </c>
      <c r="S43" s="20">
        <f>(S42-S41)/S41</f>
        <v>2.8892601588599446E-3</v>
      </c>
      <c r="V43" s="20">
        <f>(V42-V41)/V41</f>
        <v>-7.8928256054292142E-2</v>
      </c>
    </row>
    <row r="44" spans="1:22" x14ac:dyDescent="0.2">
      <c r="A44" s="14" t="s">
        <v>56</v>
      </c>
      <c r="C44" s="6" t="str">
        <f>IF(C42&gt;=C39,IF(C42&lt;=C40,"YES","NO"),"NO")</f>
        <v>YES</v>
      </c>
      <c r="G44" s="6" t="str">
        <f>IF(G42&gt;=G39,IF(G42&lt;=G40,"YES","NO"),"NO")</f>
        <v>YES</v>
      </c>
      <c r="I44" s="6" t="str">
        <f>IF(I42&gt;=I39,IF(I42&lt;=I40,"YES","NO"),"NO")</f>
        <v>YES</v>
      </c>
      <c r="K44" s="6" t="str">
        <f>IF(K42&gt;=K39,IF(K42&lt;=K40,"YES","NO"),"NO")</f>
        <v>YES</v>
      </c>
      <c r="M44" s="6" t="str">
        <f>IF(M42&gt;=M39,IF(M42&lt;=M40,"YES","NO"),"NO")</f>
        <v>YES</v>
      </c>
      <c r="P44" s="6" t="str">
        <f>IF(P42&gt;=P39,IF(P42&lt;=P40,"YES","NO"),"NO")</f>
        <v>YES</v>
      </c>
      <c r="S44" s="6" t="str">
        <f>IF(S42&gt;=S39,IF(S42&lt;=S40,"YES","NO"),"NO")</f>
        <v>YES</v>
      </c>
      <c r="V44" s="6" t="str">
        <f>IF(V42&gt;=V39,IF(V42&lt;=V40,"YES","NO"),"NO")</f>
        <v>YES</v>
      </c>
    </row>
    <row r="45" spans="1:22" x14ac:dyDescent="0.2">
      <c r="A45" s="14"/>
      <c r="C45" s="6"/>
      <c r="G45" s="6"/>
      <c r="I45" s="6"/>
      <c r="K45" s="6"/>
      <c r="M45" s="6"/>
      <c r="P45" s="6"/>
      <c r="S45" s="6"/>
      <c r="V45" s="6"/>
    </row>
    <row r="47" spans="1:22" x14ac:dyDescent="0.2">
      <c r="A47" s="1" t="s">
        <v>8</v>
      </c>
    </row>
    <row r="48" spans="1:22" x14ac:dyDescent="0.2">
      <c r="A48" t="s">
        <v>54</v>
      </c>
      <c r="C48" s="4">
        <f>[1]RESULTS1!$N$226</f>
        <v>0</v>
      </c>
      <c r="G48">
        <f>[1]RESULTS1!$N$227</f>
        <v>0</v>
      </c>
      <c r="I48">
        <f>[1]RESULTS1!$N$228</f>
        <v>3.5000000000000003E-2</v>
      </c>
      <c r="K48">
        <f>[1]RESULTS1!$N$229</f>
        <v>0.25800000000000001</v>
      </c>
      <c r="M48">
        <f>[1]RESULTS1!$N$230</f>
        <v>1.427</v>
      </c>
      <c r="P48">
        <f>[1]RESULTS1!$N$232</f>
        <v>4.4240000000000004</v>
      </c>
      <c r="S48">
        <f>[1]RESULTS1!$N$231</f>
        <v>0.68500000000000005</v>
      </c>
      <c r="V48">
        <f>[1]RESULTS1!$N$233</f>
        <v>1.8520000000000001</v>
      </c>
    </row>
    <row r="49" spans="1:22" x14ac:dyDescent="0.2">
      <c r="A49" t="s">
        <v>55</v>
      </c>
      <c r="C49" s="17">
        <f>[1]RESULTS1!$O$226</f>
        <v>0.39400000000000002</v>
      </c>
      <c r="G49" s="15">
        <f>[1]RESULTS1!$O$227</f>
        <v>0.66600000000000004</v>
      </c>
      <c r="I49" s="15">
        <f>[1]RESULTS1!$O$228</f>
        <v>0.81399999999999995</v>
      </c>
      <c r="K49" s="15">
        <f>[1]RESULTS1!$O$229</f>
        <v>1.0469999999999999</v>
      </c>
      <c r="M49" s="15">
        <f>[1]RESULTS1!$O$230</f>
        <v>2.5779999999999998</v>
      </c>
      <c r="P49" s="15">
        <f>[1]RESULTS1!$O$232</f>
        <v>5.2779999999999996</v>
      </c>
      <c r="S49" s="15">
        <f>[1]RESULTS1!$O$231</f>
        <v>1.3580000000000001</v>
      </c>
      <c r="V49" s="15">
        <f>[1]RESULTS1!$O$233</f>
        <v>2.9910000000000001</v>
      </c>
    </row>
    <row r="50" spans="1:22" x14ac:dyDescent="0.2">
      <c r="A50" t="s">
        <v>62</v>
      </c>
      <c r="C50" s="17">
        <f>[1]RESULTS1!$P$226</f>
        <v>0.25317000000000001</v>
      </c>
      <c r="G50" s="17">
        <f>[1]RESULTS1!$P$227</f>
        <v>0.47045333333333328</v>
      </c>
      <c r="I50" s="18">
        <f>[1]RESULTS1!$P$228</f>
        <v>0.59546555555555558</v>
      </c>
      <c r="K50" s="17">
        <f>[1]RESULTS1!$P$229</f>
        <v>0.81630777777777774</v>
      </c>
      <c r="M50" s="17">
        <f>[1]RESULTS1!$P$230</f>
        <v>1.8403333333333329</v>
      </c>
      <c r="P50" s="17">
        <f>[1]RESULTS1!$P$232</f>
        <v>4.7353518518518518</v>
      </c>
      <c r="S50" s="17">
        <f>[1]RESULTS1!$P$231</f>
        <v>1.0616877777777778</v>
      </c>
      <c r="V50" s="17">
        <f>[1]RESULTS1!$P$233</f>
        <v>2.4811222222222225</v>
      </c>
    </row>
    <row r="51" spans="1:22" x14ac:dyDescent="0.2">
      <c r="A51" t="s">
        <v>4</v>
      </c>
      <c r="C51" s="4">
        <f>MAX([33]case395!$C$2:$C$8761)/3600/1000</f>
        <v>7.2267860135809714E-2</v>
      </c>
      <c r="G51" s="4">
        <f>MAX([34]case400!$C$2:$C$8761)/3600/1000</f>
        <v>0.25541916371442891</v>
      </c>
      <c r="I51" s="4">
        <f>MAX([35]case410!$C$2:$C$8761)/3600/1000</f>
        <v>0.3973737095627306</v>
      </c>
      <c r="K51" s="4">
        <f>MAX([36]case420!$C$2:$C$8761)/3600/1000</f>
        <v>0.63264983677451103</v>
      </c>
      <c r="M51" s="4">
        <f>MAX([37]case430!$C$2:$C$8761)/3600/1000</f>
        <v>1.7294116285153611</v>
      </c>
      <c r="P51" s="4">
        <f>MAX([38]case440!$C$2:$C$8761)/3600/1000</f>
        <v>4.7184976649570567</v>
      </c>
      <c r="S51" s="4">
        <f>MAX([39]case800!$C$2:$C$8761)/3600/1000</f>
        <v>0.84606090253379729</v>
      </c>
      <c r="V51" s="4">
        <f>MAX([40]case810!$C$2:$C$8761)/3600/1000</f>
        <v>2.1113967314935556</v>
      </c>
    </row>
    <row r="52" spans="1:22" x14ac:dyDescent="0.2">
      <c r="A52" t="s">
        <v>9</v>
      </c>
      <c r="C52" s="5">
        <f>(C51-C50)/C50</f>
        <v>-0.71454808967962358</v>
      </c>
      <c r="G52" s="5">
        <f>(G51-G50)/G50</f>
        <v>-0.4570786396502049</v>
      </c>
      <c r="I52" s="5">
        <f>(I51-I50)/I50</f>
        <v>-0.33266717805030699</v>
      </c>
      <c r="K52" s="5">
        <f>(K51-K50)/K50</f>
        <v>-0.22498614616074825</v>
      </c>
      <c r="M52" s="5">
        <f>(M51-M50)/M50</f>
        <v>-6.0272616274934888E-2</v>
      </c>
      <c r="P52" s="5">
        <f>(P51-P50)/P50</f>
        <v>-3.5592258869219951E-3</v>
      </c>
      <c r="S52" s="5">
        <f>(S51-S50)/S50</f>
        <v>-0.20309819869576895</v>
      </c>
      <c r="V52" s="5">
        <f>(V51-V50)/V50</f>
        <v>-0.14901542834819378</v>
      </c>
    </row>
    <row r="53" spans="1:22" x14ac:dyDescent="0.2">
      <c r="A53" s="14" t="s">
        <v>56</v>
      </c>
      <c r="C53" s="6" t="str">
        <f>IF(C51&gt;=C48,IF(C51&lt;=C49,"YES","NO"),"NO")</f>
        <v>YES</v>
      </c>
      <c r="G53" s="6" t="str">
        <f>IF(G51&gt;=G48,IF(G51&lt;=G49,"YES","NO"),"NO")</f>
        <v>YES</v>
      </c>
      <c r="I53" s="6" t="str">
        <f>IF(I51&gt;=I48,IF(I51&lt;=I49,"YES","NO"),"NO")</f>
        <v>YES</v>
      </c>
      <c r="K53" s="6" t="str">
        <f>IF(K51&gt;=K48,IF(K51&lt;=K49,"YES","NO"),"NO")</f>
        <v>YES</v>
      </c>
      <c r="M53" s="6" t="str">
        <f>IF(M51&gt;=M48,IF(M51&lt;=M49,"YES","NO"),"NO")</f>
        <v>YES</v>
      </c>
      <c r="P53" s="6" t="str">
        <f>IF(P51&gt;=P48,IF(P51&lt;=P49,"YES","NO"),"NO")</f>
        <v>YES</v>
      </c>
      <c r="S53" s="6" t="str">
        <f>IF(S51&gt;=S48,IF(S51&lt;=S49,"YES","NO"),"NO")</f>
        <v>YES</v>
      </c>
      <c r="V53" s="6" t="str">
        <f>IF(V51&gt;=V48,IF(V51&lt;=V49,"YES","NO"),"NO")</f>
        <v>YES</v>
      </c>
    </row>
    <row r="54" spans="1:22" x14ac:dyDescent="0.2">
      <c r="C54"/>
    </row>
  </sheetData>
  <phoneticPr fontId="0" type="noConversion"/>
  <pageMargins left="0.25" right="0" top="0.25" bottom="0.25" header="0.5" footer="0.25"/>
  <pageSetup scale="5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901"/>
  <sheetViews>
    <sheetView showGridLines="0" tabSelected="1" topLeftCell="B1" workbookViewId="0">
      <selection activeCell="L5" sqref="L5"/>
    </sheetView>
  </sheetViews>
  <sheetFormatPr defaultColWidth="14.42578125" defaultRowHeight="15" x14ac:dyDescent="0.2"/>
  <cols>
    <col min="1" max="1" width="14.42578125" style="22"/>
    <col min="2" max="2" width="15.85546875" style="22" customWidth="1"/>
    <col min="3" max="7" width="14.42578125" style="22"/>
    <col min="8" max="8" width="17.140625" style="22" customWidth="1"/>
    <col min="9" max="11" width="14.42578125" style="22"/>
    <col min="12" max="12" width="15.140625" style="22" customWidth="1"/>
    <col min="13" max="16384" width="14.42578125" style="22"/>
  </cols>
  <sheetData>
    <row r="1" spans="1:13" x14ac:dyDescent="0.2">
      <c r="H1" s="23" t="s">
        <v>124</v>
      </c>
      <c r="I1" s="24"/>
      <c r="J1" s="24"/>
      <c r="K1" s="24"/>
      <c r="L1" s="25"/>
      <c r="M1" s="26" t="s">
        <v>125</v>
      </c>
    </row>
    <row r="2" spans="1:13" x14ac:dyDescent="0.2">
      <c r="H2" s="27" t="s">
        <v>270</v>
      </c>
      <c r="I2" s="28"/>
      <c r="J2" s="28"/>
      <c r="K2" s="28"/>
      <c r="L2" s="29"/>
      <c r="M2" s="26" t="s">
        <v>126</v>
      </c>
    </row>
    <row r="3" spans="1:13" x14ac:dyDescent="0.2">
      <c r="A3" s="22" t="s">
        <v>127</v>
      </c>
      <c r="F3" s="22" t="s">
        <v>128</v>
      </c>
      <c r="H3" s="23" t="s">
        <v>129</v>
      </c>
      <c r="I3" s="24"/>
      <c r="J3" s="24"/>
      <c r="L3" s="30" t="s">
        <v>271</v>
      </c>
      <c r="M3" s="26" t="s">
        <v>130</v>
      </c>
    </row>
    <row r="4" spans="1:13" x14ac:dyDescent="0.2">
      <c r="H4" s="23" t="s">
        <v>131</v>
      </c>
      <c r="I4" s="24"/>
      <c r="J4" s="24"/>
      <c r="K4" s="24"/>
      <c r="L4" s="31" t="s">
        <v>272</v>
      </c>
      <c r="M4" s="26" t="s">
        <v>132</v>
      </c>
    </row>
    <row r="5" spans="1:13" x14ac:dyDescent="0.2">
      <c r="H5" s="23" t="s">
        <v>133</v>
      </c>
      <c r="I5" s="24"/>
      <c r="J5" s="24"/>
      <c r="L5" s="30"/>
    </row>
    <row r="6" spans="1:13" x14ac:dyDescent="0.2">
      <c r="A6" s="22" t="s">
        <v>134</v>
      </c>
      <c r="H6" s="23" t="s">
        <v>135</v>
      </c>
      <c r="I6" s="32"/>
      <c r="J6" s="32"/>
      <c r="K6" s="32"/>
      <c r="L6" s="32"/>
    </row>
    <row r="7" spans="1:13" x14ac:dyDescent="0.2">
      <c r="H7" s="27" t="s">
        <v>136</v>
      </c>
      <c r="I7" s="28"/>
      <c r="J7" s="28"/>
      <c r="K7" s="28"/>
      <c r="L7" s="29"/>
    </row>
    <row r="8" spans="1:13" x14ac:dyDescent="0.2">
      <c r="A8" s="22" t="s">
        <v>137</v>
      </c>
      <c r="H8" s="23" t="s">
        <v>138</v>
      </c>
      <c r="I8" s="24"/>
      <c r="J8" s="24"/>
      <c r="K8" s="24"/>
      <c r="L8" s="31" t="s">
        <v>139</v>
      </c>
    </row>
    <row r="10" spans="1:13" x14ac:dyDescent="0.2">
      <c r="A10" s="22" t="s">
        <v>140</v>
      </c>
    </row>
    <row r="12" spans="1:13" x14ac:dyDescent="0.2">
      <c r="A12" s="22" t="s">
        <v>141</v>
      </c>
    </row>
    <row r="13" spans="1:13" x14ac:dyDescent="0.2">
      <c r="A13" s="22" t="s">
        <v>142</v>
      </c>
    </row>
    <row r="15" spans="1:13" x14ac:dyDescent="0.2">
      <c r="A15" s="22" t="s">
        <v>143</v>
      </c>
      <c r="C15" s="22" t="s">
        <v>144</v>
      </c>
    </row>
    <row r="17" spans="1:3" x14ac:dyDescent="0.2">
      <c r="A17" s="22" t="s">
        <v>145</v>
      </c>
      <c r="C17" s="22" t="s">
        <v>146</v>
      </c>
    </row>
    <row r="18" spans="1:3" x14ac:dyDescent="0.2">
      <c r="A18" s="22" t="s">
        <v>147</v>
      </c>
      <c r="C18" s="22" t="s">
        <v>148</v>
      </c>
    </row>
    <row r="19" spans="1:3" x14ac:dyDescent="0.2">
      <c r="A19" s="22" t="s">
        <v>149</v>
      </c>
      <c r="C19" s="22" t="s">
        <v>150</v>
      </c>
    </row>
    <row r="20" spans="1:3" x14ac:dyDescent="0.2">
      <c r="A20" s="22" t="s">
        <v>151</v>
      </c>
      <c r="C20" s="22" t="s">
        <v>152</v>
      </c>
    </row>
    <row r="21" spans="1:3" x14ac:dyDescent="0.2">
      <c r="A21" s="22" t="s">
        <v>153</v>
      </c>
      <c r="C21" s="22" t="s">
        <v>154</v>
      </c>
    </row>
    <row r="22" spans="1:3" x14ac:dyDescent="0.2">
      <c r="A22" s="22" t="s">
        <v>155</v>
      </c>
      <c r="C22" s="22" t="s">
        <v>156</v>
      </c>
    </row>
    <row r="23" spans="1:3" x14ac:dyDescent="0.2">
      <c r="A23" s="22" t="s">
        <v>157</v>
      </c>
      <c r="C23" s="22" t="s">
        <v>158</v>
      </c>
    </row>
    <row r="24" spans="1:3" x14ac:dyDescent="0.2">
      <c r="A24" s="22" t="s">
        <v>159</v>
      </c>
      <c r="C24" s="22" t="s">
        <v>160</v>
      </c>
    </row>
    <row r="25" spans="1:3" x14ac:dyDescent="0.2">
      <c r="A25" s="22" t="s">
        <v>161</v>
      </c>
      <c r="C25" s="22" t="s">
        <v>162</v>
      </c>
    </row>
    <row r="26" spans="1:3" x14ac:dyDescent="0.2">
      <c r="A26" s="22" t="s">
        <v>163</v>
      </c>
      <c r="C26" s="22" t="s">
        <v>164</v>
      </c>
    </row>
    <row r="27" spans="1:3" x14ac:dyDescent="0.2">
      <c r="A27" s="22" t="s">
        <v>165</v>
      </c>
      <c r="C27" s="22" t="s">
        <v>166</v>
      </c>
    </row>
    <row r="28" spans="1:3" x14ac:dyDescent="0.2">
      <c r="A28" s="22" t="s">
        <v>167</v>
      </c>
      <c r="C28" s="22" t="s">
        <v>168</v>
      </c>
    </row>
    <row r="30" spans="1:3" x14ac:dyDescent="0.2">
      <c r="A30" s="22" t="s">
        <v>169</v>
      </c>
    </row>
    <row r="31" spans="1:3" x14ac:dyDescent="0.2">
      <c r="A31" s="22" t="s">
        <v>170</v>
      </c>
    </row>
    <row r="33" spans="1:6" x14ac:dyDescent="0.2">
      <c r="A33" s="22" t="s">
        <v>171</v>
      </c>
    </row>
    <row r="34" spans="1:6" x14ac:dyDescent="0.2">
      <c r="A34" s="22" t="s">
        <v>172</v>
      </c>
      <c r="F34" s="33"/>
    </row>
    <row r="37" spans="1:6" x14ac:dyDescent="0.2">
      <c r="A37" s="22" t="s">
        <v>173</v>
      </c>
    </row>
    <row r="38" spans="1:6" x14ac:dyDescent="0.2">
      <c r="A38" s="22" t="s">
        <v>174</v>
      </c>
    </row>
    <row r="39" spans="1:6" x14ac:dyDescent="0.2">
      <c r="A39" s="22" t="s">
        <v>175</v>
      </c>
    </row>
    <row r="40" spans="1:6" x14ac:dyDescent="0.2">
      <c r="A40" s="22" t="s">
        <v>176</v>
      </c>
    </row>
    <row r="57" spans="1:2" ht="15.75" x14ac:dyDescent="0.25">
      <c r="A57" s="34" t="str">
        <f>$L$8</f>
        <v>GARD</v>
      </c>
    </row>
    <row r="58" spans="1:2" ht="15.75" x14ac:dyDescent="0.25">
      <c r="A58" s="34" t="str">
        <f>L4&amp;"-"&amp;L8</f>
        <v>E+{{ engine.config["EnergyPlusVersion"] }}-GARD</v>
      </c>
    </row>
    <row r="61" spans="1:2" x14ac:dyDescent="0.2">
      <c r="A61" s="22" t="s">
        <v>177</v>
      </c>
    </row>
    <row r="62" spans="1:2" x14ac:dyDescent="0.2">
      <c r="A62" s="22" t="s">
        <v>178</v>
      </c>
      <c r="B62" s="35"/>
    </row>
    <row r="63" spans="1:2" x14ac:dyDescent="0.2">
      <c r="A63" s="22" t="s">
        <v>179</v>
      </c>
      <c r="B63" s="35"/>
    </row>
    <row r="64" spans="1:2" x14ac:dyDescent="0.2">
      <c r="A64" s="22" t="s">
        <v>180</v>
      </c>
      <c r="B64" s="36" t="s">
        <v>181</v>
      </c>
    </row>
    <row r="65" spans="1:2" x14ac:dyDescent="0.2">
      <c r="A65" s="22" t="s">
        <v>182</v>
      </c>
      <c r="B65" s="40">
        <f>SUM([3]case600!$B$2:$B$8761)/3600/1000000</f>
        <v>4.3784173907655699</v>
      </c>
    </row>
    <row r="66" spans="1:2" x14ac:dyDescent="0.2">
      <c r="A66" s="22" t="s">
        <v>183</v>
      </c>
      <c r="B66" s="40">
        <f>SUM([4]case610!$B$2:$B$8761)/3600/1000000</f>
        <v>4.4215314043653073</v>
      </c>
    </row>
    <row r="67" spans="1:2" x14ac:dyDescent="0.2">
      <c r="A67" s="22" t="s">
        <v>184</v>
      </c>
      <c r="B67" s="40">
        <f>SUM([5]case620!$B$2:$B$8761)/3600/1000000</f>
        <v>4.5502169423450081</v>
      </c>
    </row>
    <row r="68" spans="1:2" x14ac:dyDescent="0.2">
      <c r="A68" s="22" t="s">
        <v>185</v>
      </c>
      <c r="B68" s="40">
        <f>SUM([6]case630!$B$2:$B$8761)/3600/1000000</f>
        <v>4.8813992178224126</v>
      </c>
    </row>
    <row r="69" spans="1:2" x14ac:dyDescent="0.2">
      <c r="A69" s="22" t="s">
        <v>186</v>
      </c>
      <c r="B69" s="40">
        <f>SUM([7]case640!$B$2:$B$8761)/3600/1000000</f>
        <v>2.6842558832752892</v>
      </c>
    </row>
    <row r="70" spans="1:2" x14ac:dyDescent="0.2">
      <c r="A70" s="22" t="s">
        <v>187</v>
      </c>
      <c r="B70" s="40">
        <f>SUM([8]case650!$B$2:$B$8761)/3600/1000000</f>
        <v>0</v>
      </c>
    </row>
    <row r="71" spans="1:2" x14ac:dyDescent="0.2">
      <c r="A71" s="22" t="s">
        <v>188</v>
      </c>
      <c r="B71" s="40">
        <f>SUM([9]case900!$B$2:$B$8761)/3600/1000000</f>
        <v>1.2237064855787012</v>
      </c>
    </row>
    <row r="72" spans="1:2" x14ac:dyDescent="0.2">
      <c r="A72" s="22" t="s">
        <v>189</v>
      </c>
      <c r="B72" s="40">
        <f>SUM([10]case910!$B$2:$B$8761)/3600/1000000</f>
        <v>1.5058206356438613</v>
      </c>
    </row>
    <row r="73" spans="1:2" x14ac:dyDescent="0.2">
      <c r="A73" s="22" t="s">
        <v>190</v>
      </c>
      <c r="B73" s="40">
        <f>SUM([11]case920!$B$2:$B$8761)/3600/1000000</f>
        <v>3.1930816554431765</v>
      </c>
    </row>
    <row r="74" spans="1:2" x14ac:dyDescent="0.2">
      <c r="A74" s="22" t="s">
        <v>191</v>
      </c>
      <c r="B74" s="40">
        <f>SUM([12]case930!$B$2:$B$8761)/3600/1000000</f>
        <v>3.9061957698822609</v>
      </c>
    </row>
    <row r="75" spans="1:2" x14ac:dyDescent="0.2">
      <c r="A75" s="22" t="s">
        <v>192</v>
      </c>
      <c r="B75" s="40">
        <f>SUM([13]case940!$B$2:$B$8761)/3600/1000000</f>
        <v>0.76810017668157116</v>
      </c>
    </row>
    <row r="76" spans="1:2" x14ac:dyDescent="0.2">
      <c r="A76" s="22" t="s">
        <v>193</v>
      </c>
      <c r="B76" s="40">
        <f>SUM([15]case950!$B$2:$B$8761)/3600/1000000</f>
        <v>0</v>
      </c>
    </row>
    <row r="77" spans="1:2" x14ac:dyDescent="0.2">
      <c r="A77" s="22" t="s">
        <v>194</v>
      </c>
      <c r="B77" s="40">
        <f>SUM([14]case960!$B$2:$B$8761)/3600/1000000</f>
        <v>2.408270808653183</v>
      </c>
    </row>
    <row r="78" spans="1:2" x14ac:dyDescent="0.2">
      <c r="A78" s="22" t="s">
        <v>195</v>
      </c>
      <c r="B78" s="41">
        <f>SUM([2]case195!$B$2:$B$8761)/3600/1000000</f>
        <v>4.3573905330260017</v>
      </c>
    </row>
    <row r="79" spans="1:2" x14ac:dyDescent="0.2">
      <c r="A79" s="22" t="s">
        <v>196</v>
      </c>
      <c r="B79" s="40">
        <f>SUM([20]case200!$B$2:$B$8761)/3600/1000000</f>
        <v>5.5780501461076382</v>
      </c>
    </row>
    <row r="80" spans="1:2" x14ac:dyDescent="0.2">
      <c r="A80" s="22" t="s">
        <v>197</v>
      </c>
      <c r="B80" s="40">
        <f>SUM([21]case210!$B$2:$B$8761)/3600/1000000</f>
        <v>6.597896954842259</v>
      </c>
    </row>
    <row r="81" spans="1:2" x14ac:dyDescent="0.2">
      <c r="A81" s="22" t="s">
        <v>198</v>
      </c>
      <c r="B81" s="40">
        <f>SUM([22]case215!$B$2:$B$8761)/3600/1000000</f>
        <v>5.9525302863268701</v>
      </c>
    </row>
    <row r="82" spans="1:2" x14ac:dyDescent="0.2">
      <c r="A82" s="22" t="s">
        <v>199</v>
      </c>
      <c r="B82" s="40">
        <f>SUM([23]case220!$B$2:$B$8761)/3600/1000000</f>
        <v>7.1100634113690697</v>
      </c>
    </row>
    <row r="83" spans="1:2" x14ac:dyDescent="0.2">
      <c r="A83" s="22" t="s">
        <v>200</v>
      </c>
      <c r="B83" s="40">
        <f>SUM([24]case230!$B$2:$B$8761)/3600/1000000</f>
        <v>10.89828277317276</v>
      </c>
    </row>
    <row r="84" spans="1:2" x14ac:dyDescent="0.2">
      <c r="A84" s="22" t="s">
        <v>201</v>
      </c>
      <c r="B84" s="40">
        <f>SUM([25]case240!$B$2:$B$8761)/3600/1000000</f>
        <v>5.8679213913357549</v>
      </c>
    </row>
    <row r="85" spans="1:2" x14ac:dyDescent="0.2">
      <c r="A85" s="22" t="s">
        <v>202</v>
      </c>
      <c r="B85" s="40">
        <f>SUM([26]case250!$B$2:$B$8761)/3600/1000000</f>
        <v>5.1891042754950778</v>
      </c>
    </row>
    <row r="86" spans="1:2" x14ac:dyDescent="0.2">
      <c r="A86" s="22" t="s">
        <v>203</v>
      </c>
      <c r="B86" s="40">
        <f>SUM([27]case270!$B$2:$B$8761)/3600/1000000</f>
        <v>4.4524663968399709</v>
      </c>
    </row>
    <row r="87" spans="1:2" x14ac:dyDescent="0.2">
      <c r="A87" s="22" t="s">
        <v>204</v>
      </c>
      <c r="B87" s="40">
        <f>SUM([28]case280!$B$2:$B$8761)/3600/1000000</f>
        <v>4.650609033741353</v>
      </c>
    </row>
    <row r="88" spans="1:2" x14ac:dyDescent="0.2">
      <c r="A88" s="22" t="s">
        <v>205</v>
      </c>
      <c r="B88" s="40">
        <f>SUM([29]case290!$B$2:$B$8761)/3600/1000000</f>
        <v>4.4877944739537847</v>
      </c>
    </row>
    <row r="89" spans="1:2" x14ac:dyDescent="0.2">
      <c r="A89" s="22" t="s">
        <v>206</v>
      </c>
      <c r="B89" s="40">
        <f>SUM([30]case300!$B$2:$B$8761)/3600/1000000</f>
        <v>4.4977146471282641</v>
      </c>
    </row>
    <row r="90" spans="1:2" x14ac:dyDescent="0.2">
      <c r="A90" s="22" t="s">
        <v>207</v>
      </c>
      <c r="B90" s="40">
        <f>SUM([31]case310!$B$2:$B$8761)/3600/1000000</f>
        <v>4.7763726082176001</v>
      </c>
    </row>
    <row r="91" spans="1:2" x14ac:dyDescent="0.2">
      <c r="A91" s="22" t="s">
        <v>208</v>
      </c>
      <c r="B91" s="40">
        <f>SUM([32]case320!$B$2:$B$8761)/3600/1000000</f>
        <v>3.7597988209304805</v>
      </c>
    </row>
    <row r="92" spans="1:2" x14ac:dyDescent="0.2">
      <c r="A92" s="22" t="s">
        <v>209</v>
      </c>
      <c r="B92" s="40">
        <f>SUM([33]case395!$B$2:$B$8761)/3600/1000000</f>
        <v>4.9803855119909306</v>
      </c>
    </row>
    <row r="93" spans="1:2" x14ac:dyDescent="0.2">
      <c r="A93" s="22" t="s">
        <v>210</v>
      </c>
      <c r="B93" s="40">
        <f>SUM([34]case400!$B$2:$B$8761)/3600/1000000</f>
        <v>7.0226270960471497</v>
      </c>
    </row>
    <row r="94" spans="1:2" x14ac:dyDescent="0.2">
      <c r="A94" s="22" t="s">
        <v>211</v>
      </c>
      <c r="B94" s="40">
        <f>SUM([35]case410!$B$2:$B$8761)/3600/1000000</f>
        <v>8.9092396990884737</v>
      </c>
    </row>
    <row r="95" spans="1:2" x14ac:dyDescent="0.2">
      <c r="A95" s="22" t="s">
        <v>212</v>
      </c>
      <c r="B95" s="40">
        <f>SUM([36]case420!$B$2:$B$8761)/3600/1000000</f>
        <v>7.6519181625600403</v>
      </c>
    </row>
    <row r="96" spans="1:2" x14ac:dyDescent="0.2">
      <c r="A96" s="22" t="s">
        <v>213</v>
      </c>
      <c r="B96" s="40">
        <f>SUM([37]case430!$B$2:$B$8761)/3600/1000000</f>
        <v>6.0286804555798552</v>
      </c>
    </row>
    <row r="97" spans="1:2" x14ac:dyDescent="0.2">
      <c r="A97" s="22" t="s">
        <v>214</v>
      </c>
      <c r="B97" s="40">
        <f>SUM([38]case440!$B$2:$B$8761)/3600/1000000</f>
        <v>4.5686472426435145</v>
      </c>
    </row>
    <row r="98" spans="1:2" x14ac:dyDescent="0.2">
      <c r="A98" s="22" t="s">
        <v>215</v>
      </c>
      <c r="B98" s="40">
        <f>SUM([39]case800!$B$2:$B$8761)/3600/1000000</f>
        <v>5.3704987825321862</v>
      </c>
    </row>
    <row r="99" spans="1:2" x14ac:dyDescent="0.2">
      <c r="A99" s="22" t="s">
        <v>216</v>
      </c>
      <c r="B99" s="40">
        <f>SUM([40]case810!$B$2:$B$8761)/3600/1000000</f>
        <v>1.9716303214307982</v>
      </c>
    </row>
    <row r="100" spans="1:2" x14ac:dyDescent="0.2">
      <c r="A100" s="22" t="s">
        <v>217</v>
      </c>
    </row>
    <row r="101" spans="1:2" x14ac:dyDescent="0.2">
      <c r="A101" s="22" t="s">
        <v>178</v>
      </c>
      <c r="B101" s="35"/>
    </row>
    <row r="102" spans="1:2" x14ac:dyDescent="0.2">
      <c r="A102" s="22" t="s">
        <v>179</v>
      </c>
      <c r="B102" s="35"/>
    </row>
    <row r="103" spans="1:2" x14ac:dyDescent="0.2">
      <c r="A103" s="22" t="s">
        <v>180</v>
      </c>
      <c r="B103" s="36" t="s">
        <v>181</v>
      </c>
    </row>
    <row r="104" spans="1:2" x14ac:dyDescent="0.2">
      <c r="A104" s="22" t="s">
        <v>182</v>
      </c>
      <c r="B104" s="40">
        <f>SUM([3]case600!$C$2:$C$8761)/3600/1000000</f>
        <v>6.7403897054987212</v>
      </c>
    </row>
    <row r="105" spans="1:2" x14ac:dyDescent="0.2">
      <c r="A105" s="22" t="s">
        <v>183</v>
      </c>
      <c r="B105" s="40">
        <f>SUM([4]case610!$C$2:$C$8761)/3600/1000000</f>
        <v>4.7464268644566854</v>
      </c>
    </row>
    <row r="106" spans="1:2" x14ac:dyDescent="0.2">
      <c r="A106" s="22" t="s">
        <v>184</v>
      </c>
      <c r="B106" s="40">
        <f>SUM([5]case620!$C$2:$C$8761)/3600/1000000</f>
        <v>4.1676074995693204</v>
      </c>
    </row>
    <row r="107" spans="1:2" x14ac:dyDescent="0.2">
      <c r="A107" s="22" t="s">
        <v>185</v>
      </c>
      <c r="B107" s="40">
        <f>SUM([6]case630!$C$2:$C$8761)/3600/1000000</f>
        <v>2.7803719831226754</v>
      </c>
    </row>
    <row r="108" spans="1:2" x14ac:dyDescent="0.2">
      <c r="A108" s="22" t="s">
        <v>186</v>
      </c>
      <c r="B108" s="40">
        <f>SUM([7]case640!$C$2:$C$8761)/3600/1000000</f>
        <v>6.4538056917777471</v>
      </c>
    </row>
    <row r="109" spans="1:2" x14ac:dyDescent="0.2">
      <c r="A109" s="22" t="s">
        <v>187</v>
      </c>
      <c r="B109" s="40">
        <f>SUM([8]case650!$C$2:$C$8761)/3600/1000000</f>
        <v>5.3043887047640403</v>
      </c>
    </row>
    <row r="110" spans="1:2" x14ac:dyDescent="0.2">
      <c r="A110" s="22" t="s">
        <v>188</v>
      </c>
      <c r="B110" s="40">
        <f>SUM([9]case900!$C$2:$C$8761)/3600/1000000</f>
        <v>2.5076520639344002</v>
      </c>
    </row>
    <row r="111" spans="1:2" x14ac:dyDescent="0.2">
      <c r="A111" s="22" t="s">
        <v>189</v>
      </c>
      <c r="B111" s="40">
        <f>SUM([10]case910!$C$2:$C$8761)/3600/1000000</f>
        <v>1.2347752524879096</v>
      </c>
    </row>
    <row r="112" spans="1:2" x14ac:dyDescent="0.2">
      <c r="A112" s="22" t="s">
        <v>190</v>
      </c>
      <c r="B112" s="40">
        <f>SUM([11]case920!$C$2:$C$8761)/3600/1000000</f>
        <v>2.5484582767623656</v>
      </c>
    </row>
    <row r="113" spans="1:2" x14ac:dyDescent="0.2">
      <c r="A113" s="22" t="s">
        <v>191</v>
      </c>
      <c r="B113" s="40">
        <f>SUM([12]case930!$C$2:$C$8761)/3600/1000000</f>
        <v>1.6378051895516283</v>
      </c>
    </row>
    <row r="114" spans="1:2" x14ac:dyDescent="0.2">
      <c r="A114" s="22" t="s">
        <v>192</v>
      </c>
      <c r="B114" s="40">
        <f>SUM([13]case940!$C$2:$C$8761)/3600/1000000</f>
        <v>2.4333206774971448</v>
      </c>
    </row>
    <row r="115" spans="1:2" x14ac:dyDescent="0.2">
      <c r="A115" s="22" t="s">
        <v>193</v>
      </c>
      <c r="B115" s="40">
        <f>SUM([15]case950!$C$2:$C$8761)/3600/1000000</f>
        <v>0.52979569095833057</v>
      </c>
    </row>
    <row r="116" spans="1:2" x14ac:dyDescent="0.2">
      <c r="A116" s="22" t="s">
        <v>194</v>
      </c>
      <c r="B116" s="40">
        <f>SUM([14]case960!$C$2:$C$8761)/3600/1000000</f>
        <v>0.63954037160890342</v>
      </c>
    </row>
    <row r="117" spans="1:2" x14ac:dyDescent="0.2">
      <c r="A117" s="22" t="s">
        <v>195</v>
      </c>
      <c r="B117" s="41">
        <f>SUM([2]case195!$C$2:$C$8761)/3600/1000000</f>
        <v>0.41215669764007873</v>
      </c>
    </row>
    <row r="118" spans="1:2" x14ac:dyDescent="0.2">
      <c r="A118" s="22" t="s">
        <v>196</v>
      </c>
      <c r="B118" s="40">
        <f>SUM([20]case200!$C$2:$C$8761)/3600/1000000</f>
        <v>0.58684402733330787</v>
      </c>
    </row>
    <row r="119" spans="1:2" x14ac:dyDescent="0.2">
      <c r="A119" s="22" t="s">
        <v>197</v>
      </c>
      <c r="B119" s="40">
        <f>SUM([21]case210!$C$2:$C$8761)/3600/1000000</f>
        <v>0.36522379256277654</v>
      </c>
    </row>
    <row r="120" spans="1:2" x14ac:dyDescent="0.2">
      <c r="A120" s="22" t="s">
        <v>198</v>
      </c>
      <c r="B120" s="40">
        <f>SUM([22]case215!$C$2:$C$8761)/3600/1000000</f>
        <v>0.64347935779308985</v>
      </c>
    </row>
    <row r="121" spans="1:2" x14ac:dyDescent="0.2">
      <c r="A121" s="22" t="s">
        <v>199</v>
      </c>
      <c r="B121" s="40">
        <f>SUM([23]case220!$C$2:$C$8761)/3600/1000000</f>
        <v>0.4066270419057077</v>
      </c>
    </row>
    <row r="122" spans="1:2" x14ac:dyDescent="0.2">
      <c r="A122" s="22" t="s">
        <v>200</v>
      </c>
      <c r="B122" s="40">
        <f>SUM([24]case230!$C$2:$C$8761)/3600/1000000</f>
        <v>0.69576001110474694</v>
      </c>
    </row>
    <row r="123" spans="1:2" x14ac:dyDescent="0.2">
      <c r="A123" s="22" t="s">
        <v>201</v>
      </c>
      <c r="B123" s="40">
        <f>SUM([25]case240!$C$2:$C$8761)/3600/1000000</f>
        <v>0.70436287920187224</v>
      </c>
    </row>
    <row r="124" spans="1:2" x14ac:dyDescent="0.2">
      <c r="A124" s="22" t="s">
        <v>202</v>
      </c>
      <c r="B124" s="40">
        <f>SUM([26]case250!$C$2:$C$8761)/3600/1000000</f>
        <v>3.1632370875328339</v>
      </c>
    </row>
    <row r="125" spans="1:2" x14ac:dyDescent="0.2">
      <c r="A125" s="22" t="s">
        <v>203</v>
      </c>
      <c r="B125" s="40">
        <f>SUM([27]case270!$C$2:$C$8761)/3600/1000000</f>
        <v>8.4893842248408244</v>
      </c>
    </row>
    <row r="126" spans="1:2" x14ac:dyDescent="0.2">
      <c r="A126" s="22" t="s">
        <v>204</v>
      </c>
      <c r="B126" s="40">
        <f>SUM([28]case280!$C$2:$C$8761)/3600/1000000</f>
        <v>5.4978356573099099</v>
      </c>
    </row>
    <row r="127" spans="1:2" x14ac:dyDescent="0.2">
      <c r="A127" s="22" t="s">
        <v>205</v>
      </c>
      <c r="B127" s="40">
        <f>SUM([29]case290!$C$2:$C$8761)/3600/1000000</f>
        <v>6.392779926925102</v>
      </c>
    </row>
    <row r="128" spans="1:2" x14ac:dyDescent="0.2">
      <c r="A128" s="22" t="s">
        <v>206</v>
      </c>
      <c r="B128" s="40">
        <f>SUM([30]case300!$C$2:$C$8761)/3600/1000000</f>
        <v>5.4660623757672901</v>
      </c>
    </row>
    <row r="129" spans="1:4" x14ac:dyDescent="0.2">
      <c r="A129" s="22" t="s">
        <v>207</v>
      </c>
      <c r="B129" s="40">
        <f>SUM([31]case310!$C$2:$C$8761)/3600/1000000</f>
        <v>3.7381087333589287</v>
      </c>
    </row>
    <row r="130" spans="1:4" x14ac:dyDescent="0.2">
      <c r="A130" s="22" t="s">
        <v>208</v>
      </c>
      <c r="B130" s="40">
        <f>SUM([32]case320!$C$2:$C$8761)/3600/1000000</f>
        <v>5.8058006040700167</v>
      </c>
    </row>
    <row r="131" spans="1:4" x14ac:dyDescent="0.2">
      <c r="A131" s="22" t="s">
        <v>209</v>
      </c>
      <c r="B131" s="40">
        <f>SUM([33]case395!$C$2:$C$8761)/3600/1000000</f>
        <v>4.0509518869473221E-4</v>
      </c>
    </row>
    <row r="132" spans="1:4" x14ac:dyDescent="0.2">
      <c r="A132" s="22" t="s">
        <v>210</v>
      </c>
      <c r="B132" s="40">
        <f>SUM([34]case400!$C$2:$C$8761)/3600/1000000</f>
        <v>5.8483483927679065E-3</v>
      </c>
    </row>
    <row r="133" spans="1:4" x14ac:dyDescent="0.2">
      <c r="A133" s="22" t="s">
        <v>211</v>
      </c>
      <c r="B133" s="40">
        <f>SUM([35]case410!$C$2:$C$8761)/3600/1000000</f>
        <v>1.6246202991158684E-2</v>
      </c>
    </row>
    <row r="134" spans="1:4" x14ac:dyDescent="0.2">
      <c r="A134" s="22" t="s">
        <v>212</v>
      </c>
      <c r="B134" s="40">
        <f>SUM([36]case420!$C$2:$C$8761)/3600/1000000</f>
        <v>6.7711155145991367E-2</v>
      </c>
    </row>
    <row r="135" spans="1:4" x14ac:dyDescent="0.2">
      <c r="A135" s="22" t="s">
        <v>213</v>
      </c>
      <c r="B135" s="40">
        <f>SUM([37]case430!$C$2:$C$8761)/3600/1000000</f>
        <v>0.64648316119550175</v>
      </c>
    </row>
    <row r="136" spans="1:4" x14ac:dyDescent="0.2">
      <c r="A136" s="22" t="s">
        <v>214</v>
      </c>
      <c r="B136" s="40">
        <f>SUM([38]case440!$C$2:$C$8761)/3600/1000000</f>
        <v>4.2465707431459672</v>
      </c>
    </row>
    <row r="137" spans="1:4" x14ac:dyDescent="0.2">
      <c r="A137" s="22" t="s">
        <v>215</v>
      </c>
      <c r="B137" s="40">
        <f>SUM([39]case800!$C$2:$C$8761)/3600/1000000</f>
        <v>0.20334003282365518</v>
      </c>
    </row>
    <row r="138" spans="1:4" x14ac:dyDescent="0.2">
      <c r="A138" s="22" t="s">
        <v>216</v>
      </c>
      <c r="B138" s="40">
        <f>SUM([40]case810!$C$2:$C$8761)/3600/1000000</f>
        <v>1.205122326453655</v>
      </c>
    </row>
    <row r="142" spans="1:4" x14ac:dyDescent="0.2">
      <c r="A142" s="22" t="s">
        <v>218</v>
      </c>
      <c r="C142" s="33"/>
    </row>
    <row r="143" spans="1:4" x14ac:dyDescent="0.2">
      <c r="A143" s="22" t="s">
        <v>178</v>
      </c>
      <c r="B143" s="35"/>
      <c r="C143" s="37"/>
      <c r="D143" s="35"/>
    </row>
    <row r="144" spans="1:4" x14ac:dyDescent="0.2">
      <c r="A144" s="22" t="s">
        <v>179</v>
      </c>
      <c r="B144" s="35"/>
      <c r="C144" s="37"/>
      <c r="D144" s="35"/>
    </row>
    <row r="145" spans="1:4" x14ac:dyDescent="0.2">
      <c r="A145" s="22" t="s">
        <v>180</v>
      </c>
      <c r="B145" s="36" t="s">
        <v>219</v>
      </c>
      <c r="C145" s="38" t="s">
        <v>220</v>
      </c>
      <c r="D145" s="36" t="s">
        <v>221</v>
      </c>
    </row>
    <row r="146" spans="1:4" x14ac:dyDescent="0.2">
      <c r="A146" s="22" t="s">
        <v>182</v>
      </c>
      <c r="B146" s="40">
        <f>MAX([3]case600!$B$2:$B$8761)/3600/1000</f>
        <v>3.7500803840701664</v>
      </c>
      <c r="C146" s="37"/>
      <c r="D146" s="35"/>
    </row>
    <row r="147" spans="1:4" x14ac:dyDescent="0.2">
      <c r="A147" s="22" t="s">
        <v>183</v>
      </c>
      <c r="B147" s="40">
        <f>MAX([4]case610!$B$2:$B$8761)/3600/1000</f>
        <v>3.7396061907233333</v>
      </c>
      <c r="C147" s="37"/>
      <c r="D147" s="35"/>
    </row>
    <row r="148" spans="1:4" x14ac:dyDescent="0.2">
      <c r="A148" s="22" t="s">
        <v>184</v>
      </c>
      <c r="B148" s="40">
        <f>MAX([5]case620!$B$2:$B$8761)/3600/1000</f>
        <v>3.7409462317529445</v>
      </c>
      <c r="C148" s="37"/>
      <c r="D148" s="35"/>
    </row>
    <row r="149" spans="1:4" x14ac:dyDescent="0.2">
      <c r="A149" s="22" t="s">
        <v>185</v>
      </c>
      <c r="B149" s="40">
        <f>MAX([6]case630!$B$2:$B$8761)/3600/1000</f>
        <v>3.7206024113968055</v>
      </c>
      <c r="C149" s="37"/>
      <c r="D149" s="35"/>
    </row>
    <row r="150" spans="1:4" x14ac:dyDescent="0.2">
      <c r="A150" s="22" t="s">
        <v>186</v>
      </c>
      <c r="B150" s="40">
        <f>MAX([7]case640!$B$2:$B$8761)/3600/1000</f>
        <v>6.2767966572989717</v>
      </c>
      <c r="C150" s="37"/>
      <c r="D150" s="35"/>
    </row>
    <row r="151" spans="1:4" x14ac:dyDescent="0.2">
      <c r="A151" s="22" t="s">
        <v>187</v>
      </c>
      <c r="B151" s="40">
        <f>MAX([8]case650!$B$2:$B$8761)/3600/1000</f>
        <v>0</v>
      </c>
      <c r="C151" s="37"/>
      <c r="D151" s="35"/>
    </row>
    <row r="152" spans="1:4" x14ac:dyDescent="0.2">
      <c r="A152" s="22" t="s">
        <v>188</v>
      </c>
      <c r="B152" s="40">
        <f>MAX([9]case900!$B$2:$B$8761)/3600/1000</f>
        <v>3.1721787355460278</v>
      </c>
      <c r="C152" s="37"/>
      <c r="D152" s="35"/>
    </row>
    <row r="153" spans="1:4" x14ac:dyDescent="0.2">
      <c r="A153" s="22" t="s">
        <v>189</v>
      </c>
      <c r="B153" s="40">
        <f>MAX([10]case910!$B$2:$B$8761)/3600/1000</f>
        <v>3.1717931132370554</v>
      </c>
      <c r="C153" s="37"/>
      <c r="D153" s="35"/>
    </row>
    <row r="154" spans="1:4" x14ac:dyDescent="0.2">
      <c r="A154" s="22" t="s">
        <v>190</v>
      </c>
      <c r="B154" s="40">
        <f>MAX([11]case920!$B$2:$B$8761)/3600/1000</f>
        <v>3.4830364954725002</v>
      </c>
      <c r="C154" s="37"/>
      <c r="D154" s="35"/>
    </row>
    <row r="155" spans="1:4" x14ac:dyDescent="0.2">
      <c r="A155" s="22" t="s">
        <v>191</v>
      </c>
      <c r="B155" s="40">
        <f>MAX([12]case930!$B$2:$B$8761)/3600/1000</f>
        <v>3.5064664383246944</v>
      </c>
      <c r="C155" s="37"/>
      <c r="D155" s="35"/>
    </row>
    <row r="156" spans="1:4" x14ac:dyDescent="0.2">
      <c r="A156" s="22" t="s">
        <v>192</v>
      </c>
      <c r="B156" s="40">
        <f>MAX([13]case940!$B$2:$B$8761)/3600/1000</f>
        <v>4.8154909324634732</v>
      </c>
      <c r="C156" s="37"/>
      <c r="D156" s="35"/>
    </row>
    <row r="157" spans="1:4" x14ac:dyDescent="0.2">
      <c r="A157" s="22" t="s">
        <v>193</v>
      </c>
      <c r="B157" s="40">
        <f>MAX([15]case950!$B$2:$B$8761)/3600/1000</f>
        <v>0</v>
      </c>
      <c r="C157" s="37"/>
      <c r="D157" s="35"/>
    </row>
    <row r="158" spans="1:4" x14ac:dyDescent="0.2">
      <c r="A158" s="22" t="s">
        <v>194</v>
      </c>
      <c r="B158" s="40">
        <f>MAX([14]case960!$B$2:$B$8761)/3600/1000</f>
        <v>2.6925783125225693</v>
      </c>
      <c r="C158" s="37"/>
      <c r="D158" s="35"/>
    </row>
    <row r="159" spans="1:4" x14ac:dyDescent="0.2">
      <c r="A159" s="22" t="s">
        <v>195</v>
      </c>
      <c r="B159" s="41">
        <f>MAX([2]case195!$B$2:$B$8761)/3600/1000</f>
        <v>2.0902045656822996</v>
      </c>
      <c r="C159" s="37"/>
      <c r="D159" s="35"/>
    </row>
    <row r="160" spans="1:4" x14ac:dyDescent="0.2">
      <c r="A160" s="22" t="s">
        <v>196</v>
      </c>
      <c r="B160" s="40">
        <f>MAX([20]case200!$B$2:$B$8761)/3600/1000</f>
        <v>2.8519532280808608</v>
      </c>
      <c r="C160" s="37"/>
      <c r="D160" s="35"/>
    </row>
    <row r="161" spans="1:4" x14ac:dyDescent="0.2">
      <c r="A161" s="22" t="s">
        <v>197</v>
      </c>
      <c r="B161" s="40">
        <f>MAX([21]case210!$B$2:$B$8761)/3600/1000</f>
        <v>3.0402873788334999</v>
      </c>
      <c r="C161" s="37"/>
      <c r="D161" s="35"/>
    </row>
    <row r="162" spans="1:4" x14ac:dyDescent="0.2">
      <c r="A162" s="22" t="s">
        <v>198</v>
      </c>
      <c r="B162" s="40">
        <f>MAX([22]case215!$B$2:$B$8761)/3600/1000</f>
        <v>3.0310267658263887</v>
      </c>
      <c r="C162" s="37"/>
      <c r="D162" s="35"/>
    </row>
    <row r="163" spans="1:4" x14ac:dyDescent="0.2">
      <c r="A163" s="22" t="s">
        <v>199</v>
      </c>
      <c r="B163" s="40">
        <f>MAX([23]case220!$B$2:$B$8761)/3600/1000</f>
        <v>3.2430750126450558</v>
      </c>
      <c r="C163" s="37"/>
      <c r="D163" s="35"/>
    </row>
    <row r="164" spans="1:4" x14ac:dyDescent="0.2">
      <c r="A164" s="22" t="s">
        <v>200</v>
      </c>
      <c r="B164" s="40">
        <f>MAX([24]case230!$B$2:$B$8761)/3600/1000</f>
        <v>5.0635503595001383</v>
      </c>
      <c r="C164" s="37"/>
      <c r="D164" s="35"/>
    </row>
    <row r="165" spans="1:4" x14ac:dyDescent="0.2">
      <c r="A165" s="22" t="s">
        <v>201</v>
      </c>
      <c r="B165" s="40">
        <f>MAX([25]case240!$B$2:$B$8761)/3600/1000</f>
        <v>3.0594882627563886</v>
      </c>
      <c r="C165" s="37"/>
      <c r="D165" s="35"/>
    </row>
    <row r="166" spans="1:4" x14ac:dyDescent="0.2">
      <c r="A166" s="22" t="s">
        <v>202</v>
      </c>
      <c r="B166" s="40">
        <f>MAX([26]case250!$B$2:$B$8761)/3600/1000</f>
        <v>3.2429783124184168</v>
      </c>
      <c r="C166" s="37"/>
      <c r="D166" s="35"/>
    </row>
    <row r="167" spans="1:4" x14ac:dyDescent="0.2">
      <c r="A167" s="22" t="s">
        <v>203</v>
      </c>
      <c r="B167" s="40">
        <f>MAX([27]case270!$B$2:$B$8761)/3600/1000</f>
        <v>3.0235376781965</v>
      </c>
      <c r="C167" s="37"/>
      <c r="D167" s="35"/>
    </row>
    <row r="168" spans="1:4" x14ac:dyDescent="0.2">
      <c r="A168" s="22" t="s">
        <v>204</v>
      </c>
      <c r="B168" s="40">
        <f>MAX([28]case280!$B$2:$B$8761)/3600/1000</f>
        <v>3.0238077177908611</v>
      </c>
      <c r="C168" s="37"/>
      <c r="D168" s="35"/>
    </row>
    <row r="169" spans="1:4" x14ac:dyDescent="0.2">
      <c r="A169" s="22" t="s">
        <v>205</v>
      </c>
      <c r="B169" s="40">
        <f>MAX([29]case290!$B$2:$B$8761)/3600/1000</f>
        <v>3.0130451599766945</v>
      </c>
      <c r="C169" s="37"/>
      <c r="D169" s="35"/>
    </row>
    <row r="170" spans="1:4" x14ac:dyDescent="0.2">
      <c r="A170" s="22" t="s">
        <v>206</v>
      </c>
      <c r="B170" s="40">
        <f>MAX([30]case300!$B$2:$B$8761)/3600/1000</f>
        <v>3.0137364913650275</v>
      </c>
      <c r="C170" s="37"/>
      <c r="D170" s="35"/>
    </row>
    <row r="171" spans="1:4" x14ac:dyDescent="0.2">
      <c r="A171" s="22" t="s">
        <v>207</v>
      </c>
      <c r="B171" s="40">
        <f>MAX([31]case310!$B$2:$B$8761)/3600/1000</f>
        <v>2.9933915025157778</v>
      </c>
      <c r="C171" s="37"/>
      <c r="D171" s="35"/>
    </row>
    <row r="172" spans="1:4" x14ac:dyDescent="0.2">
      <c r="A172" s="22" t="s">
        <v>208</v>
      </c>
      <c r="B172" s="40">
        <f>MAX([32]case320!$B$2:$B$8761)/3600/1000</f>
        <v>3.0226746628106667</v>
      </c>
      <c r="C172" s="37"/>
      <c r="D172" s="35"/>
    </row>
    <row r="173" spans="1:4" x14ac:dyDescent="0.2">
      <c r="A173" s="22" t="s">
        <v>209</v>
      </c>
      <c r="B173" s="40">
        <f>MAX([33]case395!$B$2:$B$8761)/3600/1000</f>
        <v>2.2319114425347499</v>
      </c>
      <c r="C173" s="37"/>
      <c r="D173" s="35"/>
    </row>
    <row r="174" spans="1:4" x14ac:dyDescent="0.2">
      <c r="A174" s="22" t="s">
        <v>210</v>
      </c>
      <c r="B174" s="40">
        <f>MAX([34]case400!$B$2:$B$8761)/3600/1000</f>
        <v>3.2430750126450003</v>
      </c>
      <c r="C174" s="37"/>
      <c r="D174" s="35"/>
    </row>
    <row r="175" spans="1:4" x14ac:dyDescent="0.2">
      <c r="A175" s="22" t="s">
        <v>211</v>
      </c>
      <c r="B175" s="40">
        <f>MAX([35]case410!$B$2:$B$8761)/3600/1000</f>
        <v>4.1533126860723888</v>
      </c>
      <c r="C175" s="37"/>
      <c r="D175" s="35"/>
    </row>
    <row r="176" spans="1:4" x14ac:dyDescent="0.2">
      <c r="A176" s="22" t="s">
        <v>212</v>
      </c>
      <c r="B176" s="40">
        <f>MAX([36]case420!$B$2:$B$8761)/3600/1000</f>
        <v>3.9697259361838331</v>
      </c>
      <c r="C176" s="37"/>
      <c r="D176" s="35"/>
    </row>
    <row r="177" spans="1:4" x14ac:dyDescent="0.2">
      <c r="A177" s="22" t="s">
        <v>213</v>
      </c>
      <c r="B177" s="40">
        <f>MAX([37]case430!$B$2:$B$8761)/3600/1000</f>
        <v>3.96967421158425</v>
      </c>
      <c r="C177" s="37"/>
      <c r="D177" s="35"/>
    </row>
    <row r="178" spans="1:4" x14ac:dyDescent="0.2">
      <c r="A178" s="22" t="s">
        <v>214</v>
      </c>
      <c r="B178" s="40">
        <f>MAX([38]case440!$B$2:$B$8761)/3600/1000</f>
        <v>3.7509624391844998</v>
      </c>
      <c r="C178" s="37"/>
      <c r="D178" s="35"/>
    </row>
    <row r="179" spans="1:4" x14ac:dyDescent="0.2">
      <c r="A179" s="22" t="s">
        <v>215</v>
      </c>
      <c r="B179" s="40">
        <f>MAX([39]case800!$B$2:$B$8761)/3600/1000</f>
        <v>3.7864195449437776</v>
      </c>
      <c r="C179" s="37"/>
      <c r="D179" s="35"/>
    </row>
    <row r="180" spans="1:4" x14ac:dyDescent="0.2">
      <c r="A180" s="22" t="s">
        <v>216</v>
      </c>
      <c r="B180" s="40">
        <f>MAX([40]case810!$B$2:$B$8761)/3600/1000</f>
        <v>3.3211186212755277</v>
      </c>
      <c r="C180" s="37"/>
      <c r="D180" s="35"/>
    </row>
    <row r="181" spans="1:4" x14ac:dyDescent="0.2">
      <c r="C181" s="33"/>
    </row>
    <row r="182" spans="1:4" x14ac:dyDescent="0.2">
      <c r="C182" s="33"/>
    </row>
    <row r="183" spans="1:4" x14ac:dyDescent="0.2">
      <c r="C183" s="33"/>
    </row>
    <row r="184" spans="1:4" x14ac:dyDescent="0.2">
      <c r="C184" s="33"/>
    </row>
    <row r="185" spans="1:4" x14ac:dyDescent="0.2">
      <c r="C185" s="33"/>
    </row>
    <row r="186" spans="1:4" x14ac:dyDescent="0.2">
      <c r="C186" s="33"/>
    </row>
    <row r="187" spans="1:4" x14ac:dyDescent="0.2">
      <c r="C187" s="33"/>
    </row>
    <row r="188" spans="1:4" x14ac:dyDescent="0.2">
      <c r="C188" s="33"/>
    </row>
    <row r="189" spans="1:4" x14ac:dyDescent="0.2">
      <c r="C189" s="33"/>
    </row>
    <row r="190" spans="1:4" x14ac:dyDescent="0.2">
      <c r="C190" s="33"/>
    </row>
    <row r="191" spans="1:4" x14ac:dyDescent="0.2">
      <c r="C191" s="33"/>
    </row>
    <row r="192" spans="1:4" x14ac:dyDescent="0.2">
      <c r="C192" s="33"/>
    </row>
    <row r="193" spans="1:4" x14ac:dyDescent="0.2">
      <c r="C193" s="33"/>
    </row>
    <row r="194" spans="1:4" x14ac:dyDescent="0.2">
      <c r="C194" s="33"/>
    </row>
    <row r="195" spans="1:4" x14ac:dyDescent="0.2">
      <c r="A195" s="22" t="s">
        <v>222</v>
      </c>
      <c r="C195" s="33"/>
    </row>
    <row r="196" spans="1:4" x14ac:dyDescent="0.2">
      <c r="A196" s="22" t="s">
        <v>178</v>
      </c>
      <c r="B196" s="35"/>
      <c r="C196" s="37"/>
      <c r="D196" s="35"/>
    </row>
    <row r="197" spans="1:4" x14ac:dyDescent="0.2">
      <c r="A197" s="22" t="s">
        <v>179</v>
      </c>
      <c r="B197" s="35"/>
      <c r="C197" s="37"/>
      <c r="D197" s="35"/>
    </row>
    <row r="198" spans="1:4" x14ac:dyDescent="0.2">
      <c r="A198" s="22" t="s">
        <v>180</v>
      </c>
      <c r="B198" s="36" t="s">
        <v>219</v>
      </c>
      <c r="C198" s="38" t="s">
        <v>220</v>
      </c>
      <c r="D198" s="36" t="s">
        <v>221</v>
      </c>
    </row>
    <row r="199" spans="1:4" x14ac:dyDescent="0.2">
      <c r="A199" s="22" t="s">
        <v>182</v>
      </c>
      <c r="B199" s="40">
        <f>MAX([3]case600!$C$2:$C$8761)/3600/1000</f>
        <v>6.5654637193002214</v>
      </c>
      <c r="C199" s="37"/>
      <c r="D199" s="35"/>
    </row>
    <row r="200" spans="1:4" x14ac:dyDescent="0.2">
      <c r="A200" s="22" t="s">
        <v>183</v>
      </c>
      <c r="B200" s="40">
        <f>MAX([4]case610!$C$2:$C$8761)/3600/1000</f>
        <v>6.1644833817656108</v>
      </c>
      <c r="C200" s="37"/>
      <c r="D200" s="35"/>
    </row>
    <row r="201" spans="1:4" x14ac:dyDescent="0.2">
      <c r="A201" s="22" t="s">
        <v>184</v>
      </c>
      <c r="B201" s="40">
        <f>MAX([5]case620!$C$2:$C$8761)/3600/1000</f>
        <v>3.920638148063333</v>
      </c>
      <c r="C201" s="37"/>
      <c r="D201" s="35"/>
    </row>
    <row r="202" spans="1:4" x14ac:dyDescent="0.2">
      <c r="A202" s="22" t="s">
        <v>185</v>
      </c>
      <c r="B202" s="40">
        <f>MAX([6]case630!$C$2:$C$8761)/3600/1000</f>
        <v>3.3760970726459441</v>
      </c>
      <c r="C202" s="37"/>
      <c r="D202" s="35"/>
    </row>
    <row r="203" spans="1:4" x14ac:dyDescent="0.2">
      <c r="A203" s="22" t="s">
        <v>186</v>
      </c>
      <c r="B203" s="40">
        <f>MAX([7]case640!$C$2:$C$8761)/3600/1000</f>
        <v>6.5011509625394446</v>
      </c>
      <c r="C203" s="37"/>
      <c r="D203" s="35"/>
    </row>
    <row r="204" spans="1:4" x14ac:dyDescent="0.2">
      <c r="A204" s="22" t="s">
        <v>187</v>
      </c>
      <c r="B204" s="40">
        <f>MAX([8]case650!$C$2:$C$8761)/3600/1000</f>
        <v>6.3727332740929157</v>
      </c>
      <c r="C204" s="37"/>
      <c r="D204" s="35"/>
    </row>
    <row r="205" spans="1:4" x14ac:dyDescent="0.2">
      <c r="A205" s="22" t="s">
        <v>188</v>
      </c>
      <c r="B205" s="40">
        <f>MAX([9]case900!$C$2:$C$8761)/3600/1000</f>
        <v>3.24974888907825</v>
      </c>
      <c r="C205" s="37"/>
      <c r="D205" s="35"/>
    </row>
    <row r="206" spans="1:4" x14ac:dyDescent="0.2">
      <c r="A206" s="22" t="s">
        <v>189</v>
      </c>
      <c r="B206" s="40">
        <f>MAX([10]case910!$C$2:$C$8761)/3600/1000</f>
        <v>2.5733667529525528</v>
      </c>
      <c r="C206" s="37"/>
      <c r="D206" s="35"/>
    </row>
    <row r="207" spans="1:4" x14ac:dyDescent="0.2">
      <c r="A207" s="22" t="s">
        <v>190</v>
      </c>
      <c r="B207" s="40">
        <f>MAX([11]case920!$C$2:$C$8761)/3600/1000</f>
        <v>2.7771599077848474</v>
      </c>
      <c r="C207" s="37"/>
      <c r="D207" s="35"/>
    </row>
    <row r="208" spans="1:4" x14ac:dyDescent="0.2">
      <c r="A208" s="22" t="s">
        <v>191</v>
      </c>
      <c r="B208" s="40">
        <f>MAX([12]case930!$C$2:$C$8761)/3600/1000</f>
        <v>2.2745694044109528</v>
      </c>
      <c r="C208" s="37"/>
      <c r="D208" s="35"/>
    </row>
    <row r="209" spans="1:4" x14ac:dyDescent="0.2">
      <c r="A209" s="22" t="s">
        <v>192</v>
      </c>
      <c r="B209" s="40">
        <f>MAX([13]case940!$C$2:$C$8761)/3600/1000</f>
        <v>3.2497388494910551</v>
      </c>
      <c r="C209" s="37"/>
      <c r="D209" s="35"/>
    </row>
    <row r="210" spans="1:4" x14ac:dyDescent="0.2">
      <c r="A210" s="22" t="s">
        <v>193</v>
      </c>
      <c r="B210" s="40">
        <f>MAX([15]case950!$C$2:$C$8761)/3600/1000</f>
        <v>2.3877944956559474</v>
      </c>
      <c r="C210" s="37"/>
      <c r="D210" s="35"/>
    </row>
    <row r="211" spans="1:4" x14ac:dyDescent="0.2">
      <c r="A211" s="22" t="s">
        <v>194</v>
      </c>
      <c r="B211" s="40">
        <f>MAX([14]case960!$C$2:$C$8761)/3600/1000</f>
        <v>1.1434519413892137</v>
      </c>
      <c r="C211" s="37"/>
      <c r="D211" s="35"/>
    </row>
    <row r="212" spans="1:4" x14ac:dyDescent="0.2">
      <c r="A212" s="22" t="s">
        <v>195</v>
      </c>
      <c r="B212" s="41">
        <f>MAX([2]case195!$C$2:$C$8761)/3600/1000</f>
        <v>0.72934807361156662</v>
      </c>
      <c r="C212" s="37"/>
      <c r="D212" s="35"/>
    </row>
    <row r="213" spans="1:4" x14ac:dyDescent="0.2">
      <c r="A213" s="22" t="s">
        <v>196</v>
      </c>
      <c r="B213" s="40">
        <f>MAX([20]case200!$C$2:$C$8761)/3600/1000</f>
        <v>0.97394864397314718</v>
      </c>
      <c r="C213" s="37"/>
      <c r="D213" s="35"/>
    </row>
    <row r="214" spans="1:4" x14ac:dyDescent="0.2">
      <c r="A214" s="22" t="s">
        <v>197</v>
      </c>
      <c r="B214" s="40">
        <f>MAX([21]case210!$C$2:$C$8761)/3600/1000</f>
        <v>0.81135953264226379</v>
      </c>
      <c r="C214" s="37"/>
      <c r="D214" s="35"/>
    </row>
    <row r="215" spans="1:4" x14ac:dyDescent="0.2">
      <c r="A215" s="22" t="s">
        <v>198</v>
      </c>
      <c r="B215" s="40">
        <f>MAX([22]case215!$C$2:$C$8761)/3600/1000</f>
        <v>1.0732324988085056</v>
      </c>
      <c r="C215" s="37"/>
      <c r="D215" s="35"/>
    </row>
    <row r="216" spans="1:4" x14ac:dyDescent="0.2">
      <c r="A216" s="22" t="s">
        <v>199</v>
      </c>
      <c r="B216" s="40">
        <f>MAX([23]case220!$C$2:$C$8761)/3600/1000</f>
        <v>0.90992020627530557</v>
      </c>
      <c r="C216" s="37"/>
      <c r="D216" s="35"/>
    </row>
    <row r="217" spans="1:4" x14ac:dyDescent="0.2">
      <c r="A217" s="22" t="s">
        <v>200</v>
      </c>
      <c r="B217" s="40">
        <f>MAX([24]case230!$C$2:$C$8761)/3600/1000</f>
        <v>1.406607502626178</v>
      </c>
      <c r="C217" s="37"/>
      <c r="D217" s="35"/>
    </row>
    <row r="218" spans="1:4" x14ac:dyDescent="0.2">
      <c r="A218" s="22" t="s">
        <v>201</v>
      </c>
      <c r="B218" s="40">
        <f>MAX([25]case240!$C$2:$C$8761)/3600/1000</f>
        <v>1.0925645668572557</v>
      </c>
      <c r="C218" s="37"/>
      <c r="D218" s="35"/>
    </row>
    <row r="219" spans="1:4" x14ac:dyDescent="0.2">
      <c r="A219" s="22" t="s">
        <v>202</v>
      </c>
      <c r="B219" s="40">
        <f>MAX([26]case250!$C$2:$C$8761)/3600/1000</f>
        <v>3.0465331436656111</v>
      </c>
      <c r="C219" s="37"/>
      <c r="D219" s="35"/>
    </row>
    <row r="220" spans="1:4" x14ac:dyDescent="0.2">
      <c r="A220" s="22" t="s">
        <v>203</v>
      </c>
      <c r="B220" s="40">
        <f>MAX([27]case270!$C$2:$C$8761)/3600/1000</f>
        <v>6.8352976383044721</v>
      </c>
      <c r="C220" s="37"/>
      <c r="D220" s="35"/>
    </row>
    <row r="221" spans="1:4" x14ac:dyDescent="0.2">
      <c r="A221" s="22" t="s">
        <v>204</v>
      </c>
      <c r="B221" s="40">
        <f>MAX([28]case280!$C$2:$C$8761)/3600/1000</f>
        <v>4.7125845092978889</v>
      </c>
      <c r="C221" s="37"/>
      <c r="D221" s="35"/>
    </row>
    <row r="222" spans="1:4" x14ac:dyDescent="0.2">
      <c r="A222" s="22" t="s">
        <v>205</v>
      </c>
      <c r="B222" s="40">
        <f>MAX([29]case290!$C$2:$C$8761)/3600/1000</f>
        <v>6.7083658188848334</v>
      </c>
      <c r="C222" s="37"/>
      <c r="D222" s="35"/>
    </row>
    <row r="223" spans="1:4" x14ac:dyDescent="0.2">
      <c r="A223" s="22" t="s">
        <v>206</v>
      </c>
      <c r="B223" s="40">
        <f>MAX([30]case300!$C$2:$C$8761)/3600/1000</f>
        <v>3.8984744653523333</v>
      </c>
      <c r="C223" s="37"/>
      <c r="D223" s="35"/>
    </row>
    <row r="224" spans="1:4" x14ac:dyDescent="0.2">
      <c r="A224" s="22" t="s">
        <v>207</v>
      </c>
      <c r="B224" s="40">
        <f>MAX([31]case310!$C$2:$C$8761)/3600/1000</f>
        <v>3.26302415510875</v>
      </c>
      <c r="C224" s="37"/>
      <c r="D224" s="35"/>
    </row>
    <row r="225" spans="1:4" x14ac:dyDescent="0.2">
      <c r="A225" s="22" t="s">
        <v>208</v>
      </c>
      <c r="B225" s="40">
        <f>MAX([32]case320!$C$2:$C$8761)/3600/1000</f>
        <v>6.1572171543133889</v>
      </c>
      <c r="C225" s="37"/>
      <c r="D225" s="35"/>
    </row>
    <row r="226" spans="1:4" x14ac:dyDescent="0.2">
      <c r="A226" s="22" t="s">
        <v>209</v>
      </c>
      <c r="B226" s="40">
        <f>MAX([33]case395!$C$2:$C$8761)/3600/1000</f>
        <v>7.2267860135809714E-2</v>
      </c>
      <c r="C226" s="37"/>
      <c r="D226" s="35"/>
    </row>
    <row r="227" spans="1:4" x14ac:dyDescent="0.2">
      <c r="A227" s="22" t="s">
        <v>210</v>
      </c>
      <c r="B227" s="40">
        <f>MAX([34]case400!$C$2:$C$8761)/3600/1000</f>
        <v>0.25541916371442891</v>
      </c>
      <c r="C227" s="37"/>
      <c r="D227" s="35"/>
    </row>
    <row r="228" spans="1:4" x14ac:dyDescent="0.2">
      <c r="A228" s="22" t="s">
        <v>211</v>
      </c>
      <c r="B228" s="40">
        <f>MAX([35]case410!$C$2:$C$8761)/3600/1000</f>
        <v>0.3973737095627306</v>
      </c>
      <c r="C228" s="37"/>
      <c r="D228" s="35"/>
    </row>
    <row r="229" spans="1:4" x14ac:dyDescent="0.2">
      <c r="A229" s="22" t="s">
        <v>212</v>
      </c>
      <c r="B229" s="40">
        <f>MAX([36]case420!$C$2:$C$8761)/3600/1000</f>
        <v>0.63264983677451103</v>
      </c>
      <c r="C229" s="37"/>
      <c r="D229" s="35"/>
    </row>
    <row r="230" spans="1:4" x14ac:dyDescent="0.2">
      <c r="A230" s="22" t="s">
        <v>213</v>
      </c>
      <c r="B230" s="40">
        <f>MAX([37]case430!$C$2:$C$8761)/3600/1000</f>
        <v>1.7294116285153611</v>
      </c>
      <c r="C230" s="37"/>
      <c r="D230" s="35"/>
    </row>
    <row r="231" spans="1:4" x14ac:dyDescent="0.2">
      <c r="A231" s="22" t="s">
        <v>214</v>
      </c>
      <c r="B231" s="40">
        <f>MAX([38]case440!$C$2:$C$8761)/3600/1000</f>
        <v>4.7184976649570567</v>
      </c>
      <c r="C231" s="37"/>
      <c r="D231" s="35"/>
    </row>
    <row r="232" spans="1:4" x14ac:dyDescent="0.2">
      <c r="A232" s="22" t="s">
        <v>215</v>
      </c>
      <c r="B232" s="40">
        <f>MAX([39]case800!$C$2:$C$8761)/3600/1000</f>
        <v>0.84606090253379729</v>
      </c>
      <c r="C232" s="37"/>
      <c r="D232" s="35"/>
    </row>
    <row r="233" spans="1:4" x14ac:dyDescent="0.2">
      <c r="A233" s="22" t="s">
        <v>216</v>
      </c>
      <c r="B233" s="40">
        <f>MAX([40]case810!$C$2:$C$8761)/3600/1000</f>
        <v>2.1113967314935556</v>
      </c>
      <c r="C233" s="37"/>
      <c r="D233" s="35"/>
    </row>
    <row r="234" spans="1:4" x14ac:dyDescent="0.2">
      <c r="C234" s="33"/>
    </row>
    <row r="235" spans="1:4" x14ac:dyDescent="0.2">
      <c r="C235" s="33"/>
    </row>
    <row r="236" spans="1:4" x14ac:dyDescent="0.2">
      <c r="C236" s="33"/>
    </row>
    <row r="237" spans="1:4" x14ac:dyDescent="0.2">
      <c r="C237" s="33"/>
    </row>
    <row r="238" spans="1:4" x14ac:dyDescent="0.2">
      <c r="C238" s="33"/>
    </row>
    <row r="239" spans="1:4" x14ac:dyDescent="0.2">
      <c r="C239" s="33"/>
    </row>
    <row r="240" spans="1:4" x14ac:dyDescent="0.2">
      <c r="C240" s="33"/>
    </row>
    <row r="241" spans="1:4" x14ac:dyDescent="0.2">
      <c r="C241" s="33"/>
    </row>
    <row r="242" spans="1:4" x14ac:dyDescent="0.2">
      <c r="C242" s="33"/>
    </row>
    <row r="243" spans="1:4" x14ac:dyDescent="0.2">
      <c r="C243" s="33"/>
    </row>
    <row r="244" spans="1:4" x14ac:dyDescent="0.2">
      <c r="C244" s="33"/>
    </row>
    <row r="245" spans="1:4" x14ac:dyDescent="0.2">
      <c r="C245" s="33"/>
    </row>
    <row r="246" spans="1:4" x14ac:dyDescent="0.2">
      <c r="C246" s="33"/>
    </row>
    <row r="248" spans="1:4" x14ac:dyDescent="0.2">
      <c r="C248" s="33"/>
    </row>
    <row r="249" spans="1:4" x14ac:dyDescent="0.2">
      <c r="A249" s="22" t="s">
        <v>223</v>
      </c>
      <c r="C249" s="33"/>
    </row>
    <row r="250" spans="1:4" x14ac:dyDescent="0.2">
      <c r="A250" s="22" t="s">
        <v>224</v>
      </c>
    </row>
    <row r="251" spans="1:4" x14ac:dyDescent="0.2">
      <c r="A251" s="22" t="s">
        <v>178</v>
      </c>
      <c r="B251" s="35"/>
      <c r="C251" s="37"/>
      <c r="D251" s="35"/>
    </row>
    <row r="252" spans="1:4" x14ac:dyDescent="0.2">
      <c r="A252" s="22" t="s">
        <v>179</v>
      </c>
      <c r="B252" s="35"/>
      <c r="C252" s="37"/>
      <c r="D252" s="35"/>
    </row>
    <row r="253" spans="1:4" x14ac:dyDescent="0.2">
      <c r="A253" s="22" t="s">
        <v>180</v>
      </c>
      <c r="B253" s="22" t="s">
        <v>225</v>
      </c>
      <c r="C253" s="38" t="s">
        <v>220</v>
      </c>
      <c r="D253" s="36" t="s">
        <v>221</v>
      </c>
    </row>
    <row r="254" spans="1:4" x14ac:dyDescent="0.2">
      <c r="A254" s="22" t="s">
        <v>48</v>
      </c>
      <c r="B254" s="42">
        <f>MAX([16]case600FF!$D$2:$D$8761)</f>
        <v>65.287339659600093</v>
      </c>
      <c r="C254" s="37"/>
      <c r="D254" s="35"/>
    </row>
    <row r="255" spans="1:4" x14ac:dyDescent="0.2">
      <c r="A255" s="22" t="s">
        <v>49</v>
      </c>
      <c r="B255" s="42">
        <f>MAX([17]case900FF!$D$2:$D$8761)</f>
        <v>43.1596424783327</v>
      </c>
      <c r="C255" s="37"/>
      <c r="D255" s="35"/>
    </row>
    <row r="256" spans="1:4" x14ac:dyDescent="0.2">
      <c r="A256" s="22" t="s">
        <v>67</v>
      </c>
      <c r="B256" s="42">
        <f>MAX([18]case650FF!$D$2:$D$8761)</f>
        <v>63.502228656646899</v>
      </c>
      <c r="C256" s="37"/>
      <c r="D256" s="35"/>
    </row>
    <row r="257" spans="1:4" x14ac:dyDescent="0.2">
      <c r="A257" s="22" t="s">
        <v>69</v>
      </c>
      <c r="B257" s="42">
        <f>MAX([19]case950FF!$D$2:$D$8761)</f>
        <v>36.643706710501199</v>
      </c>
      <c r="C257" s="37"/>
      <c r="D257" s="35"/>
    </row>
    <row r="258" spans="1:4" x14ac:dyDescent="0.2">
      <c r="A258" s="22" t="s">
        <v>194</v>
      </c>
      <c r="B258" s="42">
        <f>MAX([14]case960!$G$2:$G$8761)</f>
        <v>52.381512446701997</v>
      </c>
      <c r="C258" s="37"/>
      <c r="D258" s="35"/>
    </row>
    <row r="259" spans="1:4" x14ac:dyDescent="0.2">
      <c r="A259" s="22" t="s">
        <v>226</v>
      </c>
      <c r="C259" s="33"/>
    </row>
    <row r="260" spans="1:4" x14ac:dyDescent="0.2">
      <c r="A260" s="22" t="s">
        <v>178</v>
      </c>
      <c r="B260" s="35"/>
      <c r="C260" s="37"/>
      <c r="D260" s="35"/>
    </row>
    <row r="261" spans="1:4" x14ac:dyDescent="0.2">
      <c r="A261" s="22" t="s">
        <v>179</v>
      </c>
      <c r="B261" s="35"/>
      <c r="C261" s="37"/>
      <c r="D261" s="35"/>
    </row>
    <row r="262" spans="1:4" x14ac:dyDescent="0.2">
      <c r="A262" s="22" t="s">
        <v>180</v>
      </c>
      <c r="B262" s="22" t="s">
        <v>225</v>
      </c>
      <c r="C262" s="38" t="s">
        <v>220</v>
      </c>
      <c r="D262" s="36" t="s">
        <v>221</v>
      </c>
    </row>
    <row r="263" spans="1:4" x14ac:dyDescent="0.2">
      <c r="A263" s="22" t="s">
        <v>48</v>
      </c>
      <c r="B263" s="42">
        <f>MIN([16]case600FF!$D$2:$D$8761)</f>
        <v>-17.418010002545799</v>
      </c>
      <c r="C263" s="37"/>
      <c r="D263" s="35"/>
    </row>
    <row r="264" spans="1:4" x14ac:dyDescent="0.2">
      <c r="A264" s="22" t="s">
        <v>49</v>
      </c>
      <c r="B264" s="42">
        <f>MIN([17]case900FF!$D$2:$D$8761)</f>
        <v>-2.6030415139750298</v>
      </c>
      <c r="C264" s="37"/>
      <c r="D264" s="35"/>
    </row>
    <row r="265" spans="1:4" x14ac:dyDescent="0.2">
      <c r="A265" s="22" t="s">
        <v>67</v>
      </c>
      <c r="B265" s="42">
        <f>MIN([18]case650FF!$D$2:$D$8761)</f>
        <v>-23.0438235411366</v>
      </c>
      <c r="C265" s="37"/>
      <c r="D265" s="35"/>
    </row>
    <row r="266" spans="1:4" x14ac:dyDescent="0.2">
      <c r="A266" s="22" t="s">
        <v>69</v>
      </c>
      <c r="B266" s="42">
        <f>MIN([19]case950FF!$D$2:$D$8761)</f>
        <v>-20.339623145764001</v>
      </c>
      <c r="C266" s="37"/>
      <c r="D266" s="35"/>
    </row>
    <row r="267" spans="1:4" x14ac:dyDescent="0.2">
      <c r="A267" s="22" t="s">
        <v>194</v>
      </c>
      <c r="B267" s="42">
        <f>MIN([14]case960!$G$2:$G$8761)</f>
        <v>2.22049045109986</v>
      </c>
      <c r="C267" s="37"/>
      <c r="D267" s="35"/>
    </row>
    <row r="268" spans="1:4" x14ac:dyDescent="0.2">
      <c r="A268" s="22" t="s">
        <v>227</v>
      </c>
    </row>
    <row r="269" spans="1:4" x14ac:dyDescent="0.2">
      <c r="A269" s="22" t="s">
        <v>178</v>
      </c>
      <c r="B269" s="35"/>
    </row>
    <row r="270" spans="1:4" x14ac:dyDescent="0.2">
      <c r="A270" s="22" t="s">
        <v>179</v>
      </c>
      <c r="B270" s="35"/>
    </row>
    <row r="271" spans="1:4" x14ac:dyDescent="0.2">
      <c r="A271" s="22" t="s">
        <v>180</v>
      </c>
      <c r="B271" s="22" t="s">
        <v>225</v>
      </c>
    </row>
    <row r="272" spans="1:4" x14ac:dyDescent="0.2">
      <c r="A272" s="22" t="s">
        <v>48</v>
      </c>
      <c r="B272" s="42">
        <f>AVERAGE([16]case600FF!$D$2:$D$8761)</f>
        <v>25.799970322822766</v>
      </c>
    </row>
    <row r="273" spans="1:2" x14ac:dyDescent="0.2">
      <c r="A273" s="22" t="s">
        <v>49</v>
      </c>
      <c r="B273" s="42">
        <f>AVERAGE([17]case900FF!$D$2:$D$8761)</f>
        <v>25.998814023165096</v>
      </c>
    </row>
    <row r="274" spans="1:2" x14ac:dyDescent="0.2">
      <c r="A274" s="22" t="s">
        <v>67</v>
      </c>
      <c r="B274" s="42">
        <f>AVERAGE([18]case650FF!$D$2:$D$8761)</f>
        <v>18.639919867943181</v>
      </c>
    </row>
    <row r="275" spans="1:2" x14ac:dyDescent="0.2">
      <c r="A275" s="22" t="s">
        <v>69</v>
      </c>
      <c r="B275" s="42">
        <f>AVERAGE([19]case950FF!$D$2:$D$8761)</f>
        <v>14.496187912775195</v>
      </c>
    </row>
    <row r="276" spans="1:2" x14ac:dyDescent="0.2">
      <c r="A276" s="22" t="s">
        <v>194</v>
      </c>
      <c r="B276" s="42">
        <f>AVERAGE([14]case960!$G$2:$G$8761)</f>
        <v>29.128571248829676</v>
      </c>
    </row>
    <row r="286" spans="1:2" x14ac:dyDescent="0.2">
      <c r="A286" s="22" t="s">
        <v>228</v>
      </c>
    </row>
    <row r="287" spans="1:2" x14ac:dyDescent="0.2">
      <c r="A287" s="22" t="s">
        <v>229</v>
      </c>
    </row>
    <row r="288" spans="1:2" x14ac:dyDescent="0.2">
      <c r="A288" s="22" t="s">
        <v>230</v>
      </c>
    </row>
    <row r="289" spans="1:4" x14ac:dyDescent="0.2">
      <c r="A289" s="22" t="s">
        <v>231</v>
      </c>
    </row>
    <row r="290" spans="1:4" x14ac:dyDescent="0.2">
      <c r="A290" s="22" t="s">
        <v>178</v>
      </c>
      <c r="B290" s="35"/>
    </row>
    <row r="291" spans="1:4" x14ac:dyDescent="0.2">
      <c r="A291" s="22" t="s">
        <v>179</v>
      </c>
      <c r="B291" s="35"/>
    </row>
    <row r="292" spans="1:4" x14ac:dyDescent="0.2">
      <c r="A292" s="22" t="s">
        <v>232</v>
      </c>
      <c r="B292" s="36" t="s">
        <v>233</v>
      </c>
    </row>
    <row r="293" spans="1:4" x14ac:dyDescent="0.2">
      <c r="A293" s="39" t="s">
        <v>234</v>
      </c>
      <c r="B293" s="39" t="s">
        <v>234</v>
      </c>
      <c r="C293" s="39" t="s">
        <v>234</v>
      </c>
      <c r="D293" s="39" t="s">
        <v>234</v>
      </c>
    </row>
    <row r="294" spans="1:4" x14ac:dyDescent="0.2">
      <c r="A294" s="22" t="s">
        <v>235</v>
      </c>
      <c r="B294" s="43">
        <f>SUM([3]case600!$N$2:$N$8761)/1000</f>
        <v>432.57135410640643</v>
      </c>
    </row>
    <row r="295" spans="1:4" x14ac:dyDescent="0.2">
      <c r="A295" s="22" t="s">
        <v>236</v>
      </c>
      <c r="B295" s="43">
        <f>SUM([3]case600!$K$2:$K$8761)/1000</f>
        <v>1185.8900729204372</v>
      </c>
    </row>
    <row r="296" spans="1:4" x14ac:dyDescent="0.2">
      <c r="A296" s="22" t="s">
        <v>237</v>
      </c>
      <c r="B296" s="43">
        <f>SUM([3]case600!$L$2:$L$8761)/1000</f>
        <v>1040.7443966659839</v>
      </c>
    </row>
    <row r="297" spans="1:4" x14ac:dyDescent="0.2">
      <c r="A297" s="22" t="s">
        <v>238</v>
      </c>
      <c r="B297" s="43">
        <f>SUM([3]case600!$M$2:$M$8761)/1000</f>
        <v>1547.5075441632644</v>
      </c>
    </row>
    <row r="298" spans="1:4" x14ac:dyDescent="0.2">
      <c r="A298" s="22" t="s">
        <v>239</v>
      </c>
      <c r="B298" s="43">
        <f>SUM([3]case600!$O$2:$O$8761)/1000</f>
        <v>1840.9315487976987</v>
      </c>
    </row>
    <row r="299" spans="1:4" x14ac:dyDescent="0.2">
      <c r="A299" s="39" t="s">
        <v>234</v>
      </c>
      <c r="B299" s="39" t="s">
        <v>234</v>
      </c>
      <c r="C299" s="39" t="s">
        <v>234</v>
      </c>
      <c r="D299" s="39" t="s">
        <v>234</v>
      </c>
    </row>
    <row r="306" spans="1:4" x14ac:dyDescent="0.2">
      <c r="A306" s="22" t="s">
        <v>228</v>
      </c>
    </row>
    <row r="307" spans="1:4" x14ac:dyDescent="0.2">
      <c r="A307" s="22" t="s">
        <v>240</v>
      </c>
    </row>
    <row r="308" spans="1:4" x14ac:dyDescent="0.2">
      <c r="A308" s="22" t="s">
        <v>231</v>
      </c>
    </row>
    <row r="309" spans="1:4" x14ac:dyDescent="0.2">
      <c r="A309" s="22" t="s">
        <v>178</v>
      </c>
      <c r="B309" s="35"/>
    </row>
    <row r="310" spans="1:4" x14ac:dyDescent="0.2">
      <c r="A310" s="22" t="s">
        <v>179</v>
      </c>
      <c r="B310" s="35"/>
    </row>
    <row r="311" spans="1:4" x14ac:dyDescent="0.2">
      <c r="A311" s="22" t="s">
        <v>180</v>
      </c>
      <c r="B311" s="36" t="s">
        <v>233</v>
      </c>
    </row>
    <row r="312" spans="1:4" x14ac:dyDescent="0.2">
      <c r="A312" s="39" t="s">
        <v>234</v>
      </c>
      <c r="B312" s="39" t="s">
        <v>234</v>
      </c>
      <c r="C312" s="39" t="s">
        <v>234</v>
      </c>
      <c r="D312" s="39" t="s">
        <v>234</v>
      </c>
    </row>
    <row r="313" spans="1:4" x14ac:dyDescent="0.2">
      <c r="A313" s="22" t="s">
        <v>241</v>
      </c>
      <c r="B313" s="43">
        <f>SUM([11]case920!$E$2:$E$8761)/1000/6</f>
        <v>674.46466564606465</v>
      </c>
    </row>
    <row r="314" spans="1:4" x14ac:dyDescent="0.2">
      <c r="A314" s="22" t="s">
        <v>242</v>
      </c>
      <c r="B314" s="43">
        <f>SUM([9]case900!$J$2:$J$8761)/1000/6</f>
        <v>981.71192717957649</v>
      </c>
    </row>
    <row r="315" spans="1:4" x14ac:dyDescent="0.2">
      <c r="A315" s="39" t="s">
        <v>234</v>
      </c>
      <c r="B315" s="39" t="s">
        <v>234</v>
      </c>
      <c r="C315" s="39" t="s">
        <v>234</v>
      </c>
      <c r="D315" s="39" t="s">
        <v>234</v>
      </c>
    </row>
    <row r="326" spans="1:4" x14ac:dyDescent="0.2">
      <c r="A326" s="22" t="s">
        <v>228</v>
      </c>
    </row>
    <row r="327" spans="1:4" x14ac:dyDescent="0.2">
      <c r="A327" s="22" t="s">
        <v>243</v>
      </c>
    </row>
    <row r="328" spans="1:4" x14ac:dyDescent="0.2">
      <c r="A328" s="22" t="s">
        <v>231</v>
      </c>
    </row>
    <row r="329" spans="1:4" x14ac:dyDescent="0.2">
      <c r="A329" s="22" t="s">
        <v>178</v>
      </c>
      <c r="B329" s="35"/>
    </row>
    <row r="330" spans="1:4" x14ac:dyDescent="0.2">
      <c r="A330" s="22" t="s">
        <v>179</v>
      </c>
      <c r="B330" s="35"/>
    </row>
    <row r="331" spans="1:4" x14ac:dyDescent="0.2">
      <c r="A331" s="22" t="s">
        <v>180</v>
      </c>
      <c r="B331" s="36" t="s">
        <v>233</v>
      </c>
    </row>
    <row r="332" spans="1:4" x14ac:dyDescent="0.2">
      <c r="A332" s="39" t="s">
        <v>234</v>
      </c>
      <c r="B332" s="39" t="s">
        <v>234</v>
      </c>
      <c r="C332" s="39" t="s">
        <v>234</v>
      </c>
      <c r="D332" s="39" t="s">
        <v>234</v>
      </c>
    </row>
    <row r="333" spans="1:4" x14ac:dyDescent="0.2">
      <c r="A333" s="22" t="s">
        <v>244</v>
      </c>
      <c r="B333" s="43">
        <f>SUM([12]case930!$J$2:$J$8761)/1000/6</f>
        <v>487.60210955217491</v>
      </c>
    </row>
    <row r="334" spans="1:4" x14ac:dyDescent="0.2">
      <c r="A334" s="22" t="s">
        <v>245</v>
      </c>
      <c r="B334" s="43">
        <f>SUM([10]case910!$J$2:$J$8761)/1000/6</f>
        <v>788.04222551954274</v>
      </c>
    </row>
    <row r="335" spans="1:4" x14ac:dyDescent="0.2">
      <c r="A335" s="39" t="s">
        <v>234</v>
      </c>
      <c r="B335" s="39" t="s">
        <v>234</v>
      </c>
      <c r="C335" s="39" t="s">
        <v>234</v>
      </c>
      <c r="D335" s="39" t="s">
        <v>234</v>
      </c>
    </row>
    <row r="341" spans="1:4" x14ac:dyDescent="0.2">
      <c r="A341" s="22" t="s">
        <v>246</v>
      </c>
    </row>
    <row r="342" spans="1:4" x14ac:dyDescent="0.2">
      <c r="A342" s="22" t="s">
        <v>247</v>
      </c>
    </row>
    <row r="343" spans="1:4" x14ac:dyDescent="0.2">
      <c r="A343" s="22" t="s">
        <v>248</v>
      </c>
    </row>
    <row r="344" spans="1:4" x14ac:dyDescent="0.2">
      <c r="A344" s="22" t="s">
        <v>231</v>
      </c>
    </row>
    <row r="345" spans="1:4" x14ac:dyDescent="0.2">
      <c r="A345" s="22" t="s">
        <v>178</v>
      </c>
      <c r="B345" s="35"/>
    </row>
    <row r="346" spans="1:4" x14ac:dyDescent="0.2">
      <c r="A346" s="22" t="s">
        <v>179</v>
      </c>
      <c r="B346" s="35"/>
    </row>
    <row r="347" spans="1:4" x14ac:dyDescent="0.2">
      <c r="A347" s="22" t="s">
        <v>249</v>
      </c>
      <c r="B347" s="36" t="s">
        <v>250</v>
      </c>
    </row>
    <row r="348" spans="1:4" x14ac:dyDescent="0.2">
      <c r="A348" s="39" t="s">
        <v>234</v>
      </c>
      <c r="B348" s="39" t="s">
        <v>234</v>
      </c>
      <c r="C348" s="39" t="s">
        <v>234</v>
      </c>
      <c r="D348" s="39" t="s">
        <v>234</v>
      </c>
    </row>
    <row r="349" spans="1:4" x14ac:dyDescent="0.2">
      <c r="A349" s="22">
        <v>1</v>
      </c>
      <c r="B349" s="44">
        <f>[3]case600!$M1514</f>
        <v>0</v>
      </c>
    </row>
    <row r="350" spans="1:4" x14ac:dyDescent="0.2">
      <c r="A350" s="22">
        <v>2</v>
      </c>
      <c r="B350" s="44">
        <f>[3]case600!$M1515</f>
        <v>0</v>
      </c>
    </row>
    <row r="351" spans="1:4" x14ac:dyDescent="0.2">
      <c r="A351" s="22">
        <v>3</v>
      </c>
      <c r="B351" s="44">
        <f>[3]case600!$M1516</f>
        <v>0</v>
      </c>
    </row>
    <row r="352" spans="1:4" x14ac:dyDescent="0.2">
      <c r="A352" s="22">
        <v>4</v>
      </c>
      <c r="B352" s="44">
        <f>[3]case600!$M1517</f>
        <v>0</v>
      </c>
    </row>
    <row r="353" spans="1:2" x14ac:dyDescent="0.2">
      <c r="A353" s="22">
        <v>5</v>
      </c>
      <c r="B353" s="44">
        <f>[3]case600!$M1518</f>
        <v>0</v>
      </c>
    </row>
    <row r="354" spans="1:2" x14ac:dyDescent="0.2">
      <c r="A354" s="22">
        <v>6</v>
      </c>
      <c r="B354" s="44">
        <f>[3]case600!$M1519</f>
        <v>0</v>
      </c>
    </row>
    <row r="355" spans="1:2" x14ac:dyDescent="0.2">
      <c r="A355" s="22">
        <v>7</v>
      </c>
      <c r="B355" s="44">
        <f>[3]case600!$M1520</f>
        <v>4.1392058833219298</v>
      </c>
    </row>
    <row r="356" spans="1:2" x14ac:dyDescent="0.2">
      <c r="A356" s="22">
        <v>8</v>
      </c>
      <c r="B356" s="44">
        <f>[3]case600!$M1521</f>
        <v>19.906615707371898</v>
      </c>
    </row>
    <row r="357" spans="1:2" x14ac:dyDescent="0.2">
      <c r="A357" s="22">
        <v>9</v>
      </c>
      <c r="B357" s="44">
        <f>[3]case600!$M1522</f>
        <v>35.478919433919799</v>
      </c>
    </row>
    <row r="358" spans="1:2" x14ac:dyDescent="0.2">
      <c r="A358" s="22">
        <v>10</v>
      </c>
      <c r="B358" s="44">
        <f>[3]case600!$M1523</f>
        <v>48.983743617066096</v>
      </c>
    </row>
    <row r="359" spans="1:2" x14ac:dyDescent="0.2">
      <c r="A359" s="22">
        <v>11</v>
      </c>
      <c r="B359" s="44">
        <f>[3]case600!$M1524</f>
        <v>58.449624348728598</v>
      </c>
    </row>
    <row r="360" spans="1:2" x14ac:dyDescent="0.2">
      <c r="A360" s="22">
        <v>12</v>
      </c>
      <c r="B360" s="44">
        <f>[3]case600!$M1525</f>
        <v>63.727583713799099</v>
      </c>
    </row>
    <row r="361" spans="1:2" x14ac:dyDescent="0.2">
      <c r="A361" s="22">
        <v>13</v>
      </c>
      <c r="B361" s="44">
        <f>[3]case600!$M1526</f>
        <v>63.469189819430397</v>
      </c>
    </row>
    <row r="362" spans="1:2" x14ac:dyDescent="0.2">
      <c r="A362" s="22">
        <v>14</v>
      </c>
      <c r="B362" s="44">
        <f>[3]case600!$M1527</f>
        <v>57.163889629705899</v>
      </c>
    </row>
    <row r="363" spans="1:2" x14ac:dyDescent="0.2">
      <c r="A363" s="22">
        <v>15</v>
      </c>
      <c r="B363" s="44">
        <f>[3]case600!$M1528</f>
        <v>46.140358781121201</v>
      </c>
    </row>
    <row r="364" spans="1:2" x14ac:dyDescent="0.2">
      <c r="A364" s="22">
        <v>16</v>
      </c>
      <c r="B364" s="44">
        <f>[3]case600!$M1529</f>
        <v>31.726053230763501</v>
      </c>
    </row>
    <row r="365" spans="1:2" x14ac:dyDescent="0.2">
      <c r="A365" s="22">
        <v>17</v>
      </c>
      <c r="B365" s="44">
        <f>[3]case600!$M1530</f>
        <v>15.6423155213275</v>
      </c>
    </row>
    <row r="366" spans="1:2" x14ac:dyDescent="0.2">
      <c r="A366" s="22">
        <v>18</v>
      </c>
      <c r="B366" s="44">
        <f>[3]case600!$M1531</f>
        <v>2.6701979412288002</v>
      </c>
    </row>
    <row r="367" spans="1:2" x14ac:dyDescent="0.2">
      <c r="A367" s="22">
        <v>19</v>
      </c>
      <c r="B367" s="44">
        <f>[3]case600!$M1532</f>
        <v>0</v>
      </c>
    </row>
    <row r="368" spans="1:2" x14ac:dyDescent="0.2">
      <c r="A368" s="22">
        <v>20</v>
      </c>
      <c r="B368" s="44">
        <f>[3]case600!$M1533</f>
        <v>0</v>
      </c>
    </row>
    <row r="369" spans="1:4" x14ac:dyDescent="0.2">
      <c r="A369" s="22">
        <v>21</v>
      </c>
      <c r="B369" s="44">
        <f>[3]case600!$M1534</f>
        <v>0</v>
      </c>
    </row>
    <row r="370" spans="1:4" x14ac:dyDescent="0.2">
      <c r="A370" s="22">
        <v>22</v>
      </c>
      <c r="B370" s="44">
        <f>[3]case600!$M1535</f>
        <v>0</v>
      </c>
    </row>
    <row r="371" spans="1:4" x14ac:dyDescent="0.2">
      <c r="A371" s="22">
        <v>23</v>
      </c>
      <c r="B371" s="44">
        <f>[3]case600!$M1536</f>
        <v>0</v>
      </c>
    </row>
    <row r="372" spans="1:4" x14ac:dyDescent="0.2">
      <c r="A372" s="22">
        <v>24</v>
      </c>
      <c r="B372" s="44">
        <f>[3]case600!$M1537</f>
        <v>0</v>
      </c>
    </row>
    <row r="373" spans="1:4" x14ac:dyDescent="0.2">
      <c r="A373" s="39" t="s">
        <v>234</v>
      </c>
      <c r="B373" s="39" t="s">
        <v>234</v>
      </c>
      <c r="C373" s="39" t="s">
        <v>234</v>
      </c>
      <c r="D373" s="39" t="s">
        <v>234</v>
      </c>
    </row>
    <row r="381" spans="1:4" x14ac:dyDescent="0.2">
      <c r="A381" s="22" t="s">
        <v>246</v>
      </c>
    </row>
    <row r="382" spans="1:4" x14ac:dyDescent="0.2">
      <c r="A382" s="22" t="s">
        <v>247</v>
      </c>
    </row>
    <row r="383" spans="1:4" x14ac:dyDescent="0.2">
      <c r="A383" s="22" t="s">
        <v>251</v>
      </c>
    </row>
    <row r="384" spans="1:4" x14ac:dyDescent="0.2">
      <c r="A384" s="22" t="s">
        <v>231</v>
      </c>
    </row>
    <row r="385" spans="1:4" x14ac:dyDescent="0.2">
      <c r="A385" s="22" t="s">
        <v>178</v>
      </c>
      <c r="B385" s="35"/>
    </row>
    <row r="386" spans="1:4" x14ac:dyDescent="0.2">
      <c r="A386" s="22" t="s">
        <v>179</v>
      </c>
      <c r="B386" s="35"/>
    </row>
    <row r="387" spans="1:4" x14ac:dyDescent="0.2">
      <c r="A387" s="22" t="s">
        <v>249</v>
      </c>
      <c r="B387" s="36" t="s">
        <v>250</v>
      </c>
    </row>
    <row r="388" spans="1:4" x14ac:dyDescent="0.2">
      <c r="A388" s="39" t="s">
        <v>234</v>
      </c>
      <c r="B388" s="39" t="s">
        <v>234</v>
      </c>
      <c r="C388" s="39" t="s">
        <v>234</v>
      </c>
      <c r="D388" s="39" t="s">
        <v>234</v>
      </c>
    </row>
    <row r="389" spans="1:4" x14ac:dyDescent="0.2">
      <c r="A389" s="22">
        <v>1</v>
      </c>
      <c r="B389" s="44">
        <f>[3]case600!$L1514</f>
        <v>0</v>
      </c>
    </row>
    <row r="390" spans="1:4" x14ac:dyDescent="0.2">
      <c r="A390" s="22">
        <v>2</v>
      </c>
      <c r="B390" s="44">
        <f>[3]case600!$L1515</f>
        <v>0</v>
      </c>
    </row>
    <row r="391" spans="1:4" x14ac:dyDescent="0.2">
      <c r="A391" s="22">
        <v>3</v>
      </c>
      <c r="B391" s="44">
        <f>[3]case600!$L1516</f>
        <v>0</v>
      </c>
    </row>
    <row r="392" spans="1:4" x14ac:dyDescent="0.2">
      <c r="A392" s="22">
        <v>4</v>
      </c>
      <c r="B392" s="44">
        <f>[3]case600!$L1517</f>
        <v>0</v>
      </c>
    </row>
    <row r="393" spans="1:4" x14ac:dyDescent="0.2">
      <c r="A393" s="22">
        <v>5</v>
      </c>
      <c r="B393" s="44">
        <f>[3]case600!$L1518</f>
        <v>0</v>
      </c>
    </row>
    <row r="394" spans="1:4" x14ac:dyDescent="0.2">
      <c r="A394" s="22">
        <v>6</v>
      </c>
      <c r="B394" s="44">
        <f>[3]case600!$L1519</f>
        <v>0</v>
      </c>
    </row>
    <row r="395" spans="1:4" x14ac:dyDescent="0.2">
      <c r="A395" s="22">
        <v>7</v>
      </c>
      <c r="B395" s="44">
        <f>[3]case600!$L1520</f>
        <v>4.1007164603674999</v>
      </c>
    </row>
    <row r="396" spans="1:4" x14ac:dyDescent="0.2">
      <c r="A396" s="22">
        <v>8</v>
      </c>
      <c r="B396" s="44">
        <f>[3]case600!$L1521</f>
        <v>19.5371160502471</v>
      </c>
    </row>
    <row r="397" spans="1:4" x14ac:dyDescent="0.2">
      <c r="A397" s="22">
        <v>9</v>
      </c>
      <c r="B397" s="44">
        <f>[3]case600!$L1522</f>
        <v>34.579912168593303</v>
      </c>
    </row>
    <row r="398" spans="1:4" x14ac:dyDescent="0.2">
      <c r="A398" s="22">
        <v>10</v>
      </c>
      <c r="B398" s="44">
        <f>[3]case600!$L1523</f>
        <v>47.821201299679501</v>
      </c>
    </row>
    <row r="399" spans="1:4" x14ac:dyDescent="0.2">
      <c r="A399" s="22">
        <v>11</v>
      </c>
      <c r="B399" s="44">
        <f>[3]case600!$L1524</f>
        <v>56.972936122782201</v>
      </c>
    </row>
    <row r="400" spans="1:4" x14ac:dyDescent="0.2">
      <c r="A400" s="22">
        <v>12</v>
      </c>
      <c r="B400" s="44">
        <f>[3]case600!$L1525</f>
        <v>61.327749698869802</v>
      </c>
    </row>
    <row r="401" spans="1:4" x14ac:dyDescent="0.2">
      <c r="A401" s="22">
        <v>13</v>
      </c>
      <c r="B401" s="44">
        <f>[3]case600!$L1526</f>
        <v>61.427469085573499</v>
      </c>
    </row>
    <row r="402" spans="1:4" x14ac:dyDescent="0.2">
      <c r="A402" s="22">
        <v>14</v>
      </c>
      <c r="B402" s="44">
        <f>[3]case600!$L1527</f>
        <v>56.276220495865097</v>
      </c>
    </row>
    <row r="403" spans="1:4" x14ac:dyDescent="0.2">
      <c r="A403" s="22">
        <v>15</v>
      </c>
      <c r="B403" s="44">
        <f>[3]case600!$L1528</f>
        <v>46.126684198485002</v>
      </c>
    </row>
    <row r="404" spans="1:4" x14ac:dyDescent="0.2">
      <c r="A404" s="22">
        <v>16</v>
      </c>
      <c r="B404" s="44">
        <f>[3]case600!$L1529</f>
        <v>32.250110470764497</v>
      </c>
    </row>
    <row r="405" spans="1:4" x14ac:dyDescent="0.2">
      <c r="A405" s="22">
        <v>17</v>
      </c>
      <c r="B405" s="44">
        <f>[3]case600!$L1530</f>
        <v>16.123599338209999</v>
      </c>
    </row>
    <row r="406" spans="1:4" x14ac:dyDescent="0.2">
      <c r="A406" s="22">
        <v>18</v>
      </c>
      <c r="B406" s="44">
        <f>[3]case600!$L1531</f>
        <v>2.7155242506330302</v>
      </c>
    </row>
    <row r="407" spans="1:4" x14ac:dyDescent="0.2">
      <c r="A407" s="22">
        <v>19</v>
      </c>
      <c r="B407" s="44">
        <f>[3]case600!$L1532</f>
        <v>0</v>
      </c>
    </row>
    <row r="408" spans="1:4" x14ac:dyDescent="0.2">
      <c r="A408" s="22">
        <v>20</v>
      </c>
      <c r="B408" s="44">
        <f>[3]case600!$L1533</f>
        <v>0</v>
      </c>
    </row>
    <row r="409" spans="1:4" x14ac:dyDescent="0.2">
      <c r="A409" s="22">
        <v>21</v>
      </c>
      <c r="B409" s="44">
        <f>[3]case600!$L1534</f>
        <v>0</v>
      </c>
    </row>
    <row r="410" spans="1:4" x14ac:dyDescent="0.2">
      <c r="A410" s="22">
        <v>22</v>
      </c>
      <c r="B410" s="44">
        <f>[3]case600!$L1535</f>
        <v>0</v>
      </c>
    </row>
    <row r="411" spans="1:4" x14ac:dyDescent="0.2">
      <c r="A411" s="22">
        <v>23</v>
      </c>
      <c r="B411" s="44">
        <f>[3]case600!$L1536</f>
        <v>0</v>
      </c>
    </row>
    <row r="412" spans="1:4" x14ac:dyDescent="0.2">
      <c r="A412" s="22">
        <v>24</v>
      </c>
      <c r="B412" s="44">
        <f>[3]case600!$L1537</f>
        <v>0</v>
      </c>
    </row>
    <row r="413" spans="1:4" x14ac:dyDescent="0.2">
      <c r="A413" s="39" t="s">
        <v>234</v>
      </c>
      <c r="B413" s="39" t="s">
        <v>234</v>
      </c>
      <c r="C413" s="39" t="s">
        <v>234</v>
      </c>
      <c r="D413" s="39" t="s">
        <v>234</v>
      </c>
    </row>
    <row r="421" spans="1:4" x14ac:dyDescent="0.2">
      <c r="A421" s="22" t="s">
        <v>252</v>
      </c>
    </row>
    <row r="422" spans="1:4" x14ac:dyDescent="0.2">
      <c r="A422" s="22" t="s">
        <v>230</v>
      </c>
    </row>
    <row r="423" spans="1:4" x14ac:dyDescent="0.2">
      <c r="A423" s="22" t="s">
        <v>248</v>
      </c>
    </row>
    <row r="424" spans="1:4" x14ac:dyDescent="0.2">
      <c r="A424" s="22" t="s">
        <v>231</v>
      </c>
    </row>
    <row r="425" spans="1:4" x14ac:dyDescent="0.2">
      <c r="A425" s="22" t="s">
        <v>178</v>
      </c>
      <c r="B425" s="35"/>
    </row>
    <row r="426" spans="1:4" x14ac:dyDescent="0.2">
      <c r="A426" s="22" t="s">
        <v>179</v>
      </c>
      <c r="B426" s="35"/>
    </row>
    <row r="427" spans="1:4" x14ac:dyDescent="0.2">
      <c r="A427" s="22" t="s">
        <v>249</v>
      </c>
      <c r="B427" s="36" t="s">
        <v>250</v>
      </c>
    </row>
    <row r="428" spans="1:4" x14ac:dyDescent="0.2">
      <c r="A428" s="39" t="s">
        <v>234</v>
      </c>
      <c r="B428" s="39" t="s">
        <v>234</v>
      </c>
      <c r="C428" s="39" t="s">
        <v>234</v>
      </c>
      <c r="D428" s="39" t="s">
        <v>234</v>
      </c>
    </row>
    <row r="429" spans="1:4" x14ac:dyDescent="0.2">
      <c r="A429" s="22">
        <v>1</v>
      </c>
      <c r="B429" s="44">
        <f>[3]case600!$M4970</f>
        <v>0</v>
      </c>
    </row>
    <row r="430" spans="1:4" x14ac:dyDescent="0.2">
      <c r="A430" s="22">
        <v>2</v>
      </c>
      <c r="B430" s="44">
        <f>[3]case600!$M4971</f>
        <v>0</v>
      </c>
    </row>
    <row r="431" spans="1:4" x14ac:dyDescent="0.2">
      <c r="A431" s="22">
        <v>3</v>
      </c>
      <c r="B431" s="44">
        <f>[3]case600!$M4972</f>
        <v>0</v>
      </c>
    </row>
    <row r="432" spans="1:4" x14ac:dyDescent="0.2">
      <c r="A432" s="22">
        <v>4</v>
      </c>
      <c r="B432" s="44">
        <f>[3]case600!$M4973</f>
        <v>0</v>
      </c>
    </row>
    <row r="433" spans="1:2" x14ac:dyDescent="0.2">
      <c r="A433" s="22">
        <v>5</v>
      </c>
      <c r="B433" s="44">
        <f>[3]case600!$M4974</f>
        <v>2.8637133784777098</v>
      </c>
    </row>
    <row r="434" spans="1:2" x14ac:dyDescent="0.2">
      <c r="A434" s="22">
        <v>6</v>
      </c>
      <c r="B434" s="44">
        <f>[3]case600!$M4975</f>
        <v>35.657192616625203</v>
      </c>
    </row>
    <row r="435" spans="1:2" x14ac:dyDescent="0.2">
      <c r="A435" s="22">
        <v>7</v>
      </c>
      <c r="B435" s="44">
        <f>[3]case600!$M4976</f>
        <v>90.292560606232797</v>
      </c>
    </row>
    <row r="436" spans="1:2" x14ac:dyDescent="0.2">
      <c r="A436" s="22">
        <v>8</v>
      </c>
      <c r="B436" s="44">
        <f>[3]case600!$M4977</f>
        <v>136.138449467068</v>
      </c>
    </row>
    <row r="437" spans="1:2" x14ac:dyDescent="0.2">
      <c r="A437" s="22">
        <v>9</v>
      </c>
      <c r="B437" s="44">
        <f>[3]case600!$M4978</f>
        <v>256.058048053954</v>
      </c>
    </row>
    <row r="438" spans="1:2" x14ac:dyDescent="0.2">
      <c r="A438" s="22">
        <v>10</v>
      </c>
      <c r="B438" s="44">
        <f>[3]case600!$M4979</f>
        <v>377.09238254086802</v>
      </c>
    </row>
    <row r="439" spans="1:2" x14ac:dyDescent="0.2">
      <c r="A439" s="22">
        <v>11</v>
      </c>
      <c r="B439" s="44">
        <f>[3]case600!$M4980</f>
        <v>449.95552662570299</v>
      </c>
    </row>
    <row r="440" spans="1:2" x14ac:dyDescent="0.2">
      <c r="A440" s="22">
        <v>12</v>
      </c>
      <c r="B440" s="44">
        <f>[3]case600!$M4981</f>
        <v>468.97003171270302</v>
      </c>
    </row>
    <row r="441" spans="1:2" x14ac:dyDescent="0.2">
      <c r="A441" s="22">
        <v>13</v>
      </c>
      <c r="B441" s="44">
        <f>[3]case600!$M4982</f>
        <v>458.46522359386802</v>
      </c>
    </row>
    <row r="442" spans="1:2" x14ac:dyDescent="0.2">
      <c r="A442" s="22">
        <v>14</v>
      </c>
      <c r="B442" s="44">
        <f>[3]case600!$M4983</f>
        <v>395.77516323430098</v>
      </c>
    </row>
    <row r="443" spans="1:2" x14ac:dyDescent="0.2">
      <c r="A443" s="22">
        <v>15</v>
      </c>
      <c r="B443" s="44">
        <f>[3]case600!$M4984</f>
        <v>298.27754053509699</v>
      </c>
    </row>
    <row r="444" spans="1:2" x14ac:dyDescent="0.2">
      <c r="A444" s="22">
        <v>16</v>
      </c>
      <c r="B444" s="44">
        <f>[3]case600!$M4985</f>
        <v>170.25919048004999</v>
      </c>
    </row>
    <row r="445" spans="1:2" x14ac:dyDescent="0.2">
      <c r="A445" s="22">
        <v>17</v>
      </c>
      <c r="B445" s="44">
        <f>[3]case600!$M4986</f>
        <v>80.370413201364499</v>
      </c>
    </row>
    <row r="446" spans="1:2" x14ac:dyDescent="0.2">
      <c r="A446" s="22">
        <v>18</v>
      </c>
      <c r="B446" s="44">
        <f>[3]case600!$M4987</f>
        <v>52.3869711625888</v>
      </c>
    </row>
    <row r="447" spans="1:2" x14ac:dyDescent="0.2">
      <c r="A447" s="22">
        <v>19</v>
      </c>
      <c r="B447" s="44">
        <f>[3]case600!$M4988</f>
        <v>15.185447700664101</v>
      </c>
    </row>
    <row r="448" spans="1:2" x14ac:dyDescent="0.2">
      <c r="A448" s="22">
        <v>20</v>
      </c>
      <c r="B448" s="44">
        <f>[3]case600!$M4989</f>
        <v>0</v>
      </c>
    </row>
    <row r="449" spans="1:4" x14ac:dyDescent="0.2">
      <c r="A449" s="22">
        <v>21</v>
      </c>
      <c r="B449" s="44">
        <f>[3]case600!$M4990</f>
        <v>0</v>
      </c>
    </row>
    <row r="450" spans="1:4" x14ac:dyDescent="0.2">
      <c r="A450" s="22">
        <v>22</v>
      </c>
      <c r="B450" s="44">
        <f>[3]case600!$M4991</f>
        <v>0</v>
      </c>
    </row>
    <row r="451" spans="1:4" x14ac:dyDescent="0.2">
      <c r="A451" s="22">
        <v>23</v>
      </c>
      <c r="B451" s="44">
        <f>[3]case600!$M4992</f>
        <v>0</v>
      </c>
    </row>
    <row r="452" spans="1:4" x14ac:dyDescent="0.2">
      <c r="A452" s="22">
        <v>24</v>
      </c>
      <c r="B452" s="44">
        <f>[3]case600!$M4993</f>
        <v>0</v>
      </c>
    </row>
    <row r="453" spans="1:4" x14ac:dyDescent="0.2">
      <c r="A453" s="39" t="s">
        <v>234</v>
      </c>
      <c r="B453" s="39" t="s">
        <v>234</v>
      </c>
      <c r="C453" s="39" t="s">
        <v>234</v>
      </c>
      <c r="D453" s="39" t="s">
        <v>234</v>
      </c>
    </row>
    <row r="461" spans="1:4" x14ac:dyDescent="0.2">
      <c r="A461" s="22" t="s">
        <v>252</v>
      </c>
    </row>
    <row r="462" spans="1:4" x14ac:dyDescent="0.2">
      <c r="A462" s="22" t="s">
        <v>230</v>
      </c>
    </row>
    <row r="463" spans="1:4" x14ac:dyDescent="0.2">
      <c r="A463" s="22" t="s">
        <v>251</v>
      </c>
    </row>
    <row r="464" spans="1:4" x14ac:dyDescent="0.2">
      <c r="A464" s="22" t="s">
        <v>231</v>
      </c>
    </row>
    <row r="465" spans="1:4" x14ac:dyDescent="0.2">
      <c r="A465" s="22" t="s">
        <v>178</v>
      </c>
      <c r="B465" s="35"/>
    </row>
    <row r="466" spans="1:4" x14ac:dyDescent="0.2">
      <c r="A466" s="22" t="s">
        <v>179</v>
      </c>
      <c r="B466" s="35"/>
    </row>
    <row r="467" spans="1:4" x14ac:dyDescent="0.2">
      <c r="A467" s="22" t="s">
        <v>249</v>
      </c>
      <c r="B467" s="36" t="s">
        <v>250</v>
      </c>
    </row>
    <row r="468" spans="1:4" x14ac:dyDescent="0.2">
      <c r="A468" s="39" t="s">
        <v>234</v>
      </c>
      <c r="B468" s="39" t="s">
        <v>234</v>
      </c>
      <c r="C468" s="39" t="s">
        <v>234</v>
      </c>
      <c r="D468" s="39" t="s">
        <v>234</v>
      </c>
    </row>
    <row r="469" spans="1:4" x14ac:dyDescent="0.2">
      <c r="A469" s="22">
        <v>1</v>
      </c>
      <c r="B469" s="44">
        <f>[3]case600!$L4970</f>
        <v>0</v>
      </c>
    </row>
    <row r="470" spans="1:4" x14ac:dyDescent="0.2">
      <c r="A470" s="22">
        <v>2</v>
      </c>
      <c r="B470" s="44">
        <f>[3]case600!$L4971</f>
        <v>0</v>
      </c>
    </row>
    <row r="471" spans="1:4" x14ac:dyDescent="0.2">
      <c r="A471" s="22">
        <v>3</v>
      </c>
      <c r="B471" s="44">
        <f>[3]case600!$L4972</f>
        <v>0</v>
      </c>
    </row>
    <row r="472" spans="1:4" x14ac:dyDescent="0.2">
      <c r="A472" s="22">
        <v>4</v>
      </c>
      <c r="B472" s="44">
        <f>[3]case600!$L4973</f>
        <v>0</v>
      </c>
    </row>
    <row r="473" spans="1:4" x14ac:dyDescent="0.2">
      <c r="A473" s="22">
        <v>5</v>
      </c>
      <c r="B473" s="44">
        <f>[3]case600!$L4974</f>
        <v>2.8637133784777098</v>
      </c>
    </row>
    <row r="474" spans="1:4" x14ac:dyDescent="0.2">
      <c r="A474" s="22">
        <v>6</v>
      </c>
      <c r="B474" s="44">
        <f>[3]case600!$L4975</f>
        <v>35.657192616625203</v>
      </c>
    </row>
    <row r="475" spans="1:4" x14ac:dyDescent="0.2">
      <c r="A475" s="22">
        <v>7</v>
      </c>
      <c r="B475" s="44">
        <f>[3]case600!$L4976</f>
        <v>90.292560606232797</v>
      </c>
    </row>
    <row r="476" spans="1:4" x14ac:dyDescent="0.2">
      <c r="A476" s="22">
        <v>8</v>
      </c>
      <c r="B476" s="44">
        <f>[3]case600!$L4977</f>
        <v>128.82292842153299</v>
      </c>
    </row>
    <row r="477" spans="1:4" x14ac:dyDescent="0.2">
      <c r="A477" s="22">
        <v>9</v>
      </c>
      <c r="B477" s="44">
        <f>[3]case600!$L4978</f>
        <v>146.384406923434</v>
      </c>
    </row>
    <row r="478" spans="1:4" x14ac:dyDescent="0.2">
      <c r="A478" s="22">
        <v>10</v>
      </c>
      <c r="B478" s="44">
        <f>[3]case600!$L4979</f>
        <v>152.71793835913999</v>
      </c>
    </row>
    <row r="479" spans="1:4" x14ac:dyDescent="0.2">
      <c r="A479" s="22">
        <v>11</v>
      </c>
      <c r="B479" s="44">
        <f>[3]case600!$L4980</f>
        <v>149.825496400421</v>
      </c>
    </row>
    <row r="480" spans="1:4" x14ac:dyDescent="0.2">
      <c r="A480" s="22">
        <v>12</v>
      </c>
      <c r="B480" s="44">
        <f>[3]case600!$L4981</f>
        <v>142.658018842411</v>
      </c>
    </row>
    <row r="481" spans="1:4" x14ac:dyDescent="0.2">
      <c r="A481" s="22">
        <v>13</v>
      </c>
      <c r="B481" s="44">
        <f>[3]case600!$L4982</f>
        <v>257.39997310920597</v>
      </c>
    </row>
    <row r="482" spans="1:4" x14ac:dyDescent="0.2">
      <c r="A482" s="22">
        <v>14</v>
      </c>
      <c r="B482" s="44">
        <f>[3]case600!$L4983</f>
        <v>457.00809230009497</v>
      </c>
    </row>
    <row r="483" spans="1:4" x14ac:dyDescent="0.2">
      <c r="A483" s="22">
        <v>15</v>
      </c>
      <c r="B483" s="44">
        <f>[3]case600!$L4984</f>
        <v>616.36245027704001</v>
      </c>
    </row>
    <row r="484" spans="1:4" x14ac:dyDescent="0.2">
      <c r="A484" s="22">
        <v>16</v>
      </c>
      <c r="B484" s="44">
        <f>[3]case600!$L4985</f>
        <v>668.524981837783</v>
      </c>
    </row>
    <row r="485" spans="1:4" x14ac:dyDescent="0.2">
      <c r="A485" s="22">
        <v>17</v>
      </c>
      <c r="B485" s="44">
        <f>[3]case600!$L4986</f>
        <v>511.04463204636198</v>
      </c>
    </row>
    <row r="486" spans="1:4" x14ac:dyDescent="0.2">
      <c r="A486" s="22">
        <v>18</v>
      </c>
      <c r="B486" s="44">
        <f>[3]case600!$L4987</f>
        <v>163.219274018535</v>
      </c>
    </row>
    <row r="487" spans="1:4" x14ac:dyDescent="0.2">
      <c r="A487" s="22">
        <v>19</v>
      </c>
      <c r="B487" s="44">
        <f>[3]case600!$L4988</f>
        <v>26.890184979785399</v>
      </c>
    </row>
    <row r="488" spans="1:4" x14ac:dyDescent="0.2">
      <c r="A488" s="22">
        <v>20</v>
      </c>
      <c r="B488" s="44">
        <f>[3]case600!$L4989</f>
        <v>0</v>
      </c>
    </row>
    <row r="489" spans="1:4" x14ac:dyDescent="0.2">
      <c r="A489" s="22">
        <v>21</v>
      </c>
      <c r="B489" s="44">
        <f>[3]case600!$L4990</f>
        <v>0</v>
      </c>
    </row>
    <row r="490" spans="1:4" x14ac:dyDescent="0.2">
      <c r="A490" s="22">
        <v>22</v>
      </c>
      <c r="B490" s="44">
        <f>[3]case600!$L4991</f>
        <v>0</v>
      </c>
    </row>
    <row r="491" spans="1:4" x14ac:dyDescent="0.2">
      <c r="A491" s="22">
        <v>23</v>
      </c>
      <c r="B491" s="44">
        <f>[3]case600!$L4992</f>
        <v>0</v>
      </c>
    </row>
    <row r="492" spans="1:4" x14ac:dyDescent="0.2">
      <c r="A492" s="22">
        <v>24</v>
      </c>
      <c r="B492" s="44">
        <f>[3]case600!$L4993</f>
        <v>0</v>
      </c>
    </row>
    <row r="493" spans="1:4" x14ac:dyDescent="0.2">
      <c r="A493" s="39" t="s">
        <v>234</v>
      </c>
      <c r="B493" s="39" t="s">
        <v>234</v>
      </c>
      <c r="C493" s="39" t="s">
        <v>234</v>
      </c>
      <c r="D493" s="39" t="s">
        <v>234</v>
      </c>
    </row>
    <row r="501" spans="1:4" x14ac:dyDescent="0.2">
      <c r="A501" s="22" t="s">
        <v>253</v>
      </c>
    </row>
    <row r="502" spans="1:4" x14ac:dyDescent="0.2">
      <c r="A502" s="22" t="s">
        <v>254</v>
      </c>
    </row>
    <row r="503" spans="1:4" x14ac:dyDescent="0.2">
      <c r="A503" s="22" t="s">
        <v>231</v>
      </c>
    </row>
    <row r="504" spans="1:4" x14ac:dyDescent="0.2">
      <c r="A504" s="22" t="s">
        <v>178</v>
      </c>
      <c r="B504" s="35"/>
    </row>
    <row r="505" spans="1:4" x14ac:dyDescent="0.2">
      <c r="A505" s="22" t="s">
        <v>179</v>
      </c>
      <c r="B505" s="35"/>
    </row>
    <row r="506" spans="1:4" x14ac:dyDescent="0.2">
      <c r="A506" s="22" t="s">
        <v>249</v>
      </c>
      <c r="B506" s="22" t="s">
        <v>255</v>
      </c>
    </row>
    <row r="507" spans="1:4" x14ac:dyDescent="0.2">
      <c r="A507" s="39" t="s">
        <v>234</v>
      </c>
      <c r="B507" s="39" t="s">
        <v>234</v>
      </c>
      <c r="C507" s="39" t="s">
        <v>234</v>
      </c>
      <c r="D507" s="39" t="s">
        <v>234</v>
      </c>
    </row>
    <row r="508" spans="1:4" x14ac:dyDescent="0.2">
      <c r="A508" s="22">
        <v>1</v>
      </c>
      <c r="B508" s="44">
        <f>[16]case600FF!$D74</f>
        <v>-10.484588179380101</v>
      </c>
    </row>
    <row r="509" spans="1:4" x14ac:dyDescent="0.2">
      <c r="A509" s="22">
        <v>2</v>
      </c>
      <c r="B509" s="44">
        <f>[16]case600FF!$D75</f>
        <v>-12.1343353560189</v>
      </c>
    </row>
    <row r="510" spans="1:4" x14ac:dyDescent="0.2">
      <c r="A510" s="22">
        <v>3</v>
      </c>
      <c r="B510" s="44">
        <f>[16]case600FF!$D76</f>
        <v>-13.552832859412501</v>
      </c>
    </row>
    <row r="511" spans="1:4" x14ac:dyDescent="0.2">
      <c r="A511" s="22">
        <v>4</v>
      </c>
      <c r="B511" s="44">
        <f>[16]case600FF!$D77</f>
        <v>-14.680396288005801</v>
      </c>
    </row>
    <row r="512" spans="1:4" x14ac:dyDescent="0.2">
      <c r="A512" s="22">
        <v>5</v>
      </c>
      <c r="B512" s="44">
        <f>[16]case600FF!$D78</f>
        <v>-15.645277351636</v>
      </c>
    </row>
    <row r="513" spans="1:2" x14ac:dyDescent="0.2">
      <c r="A513" s="22">
        <v>6</v>
      </c>
      <c r="B513" s="44">
        <f>[16]case600FF!$D79</f>
        <v>-16.4594661455688</v>
      </c>
    </row>
    <row r="514" spans="1:2" x14ac:dyDescent="0.2">
      <c r="A514" s="22">
        <v>7</v>
      </c>
      <c r="B514" s="44">
        <f>[16]case600FF!$D80</f>
        <v>-17.168561595867299</v>
      </c>
    </row>
    <row r="515" spans="1:2" x14ac:dyDescent="0.2">
      <c r="A515" s="22">
        <v>8</v>
      </c>
      <c r="B515" s="44">
        <f>[16]case600FF!$D81</f>
        <v>-17.418010002545799</v>
      </c>
    </row>
    <row r="516" spans="1:2" x14ac:dyDescent="0.2">
      <c r="A516" s="22">
        <v>9</v>
      </c>
      <c r="B516" s="44">
        <f>[16]case600FF!$D82</f>
        <v>-14.4596930255563</v>
      </c>
    </row>
    <row r="517" spans="1:2" x14ac:dyDescent="0.2">
      <c r="A517" s="22">
        <v>10</v>
      </c>
      <c r="B517" s="44">
        <f>[16]case600FF!$D83</f>
        <v>-8.0321371736271008</v>
      </c>
    </row>
    <row r="518" spans="1:2" x14ac:dyDescent="0.2">
      <c r="A518" s="22">
        <v>11</v>
      </c>
      <c r="B518" s="44">
        <f>[16]case600FF!$D84</f>
        <v>1.55739414068002</v>
      </c>
    </row>
    <row r="519" spans="1:2" x14ac:dyDescent="0.2">
      <c r="A519" s="22">
        <v>12</v>
      </c>
      <c r="B519" s="44">
        <f>[16]case600FF!$D85</f>
        <v>12.3276534142925</v>
      </c>
    </row>
    <row r="520" spans="1:2" x14ac:dyDescent="0.2">
      <c r="A520" s="22">
        <v>13</v>
      </c>
      <c r="B520" s="44">
        <f>[16]case600FF!$D86</f>
        <v>21.296715628008901</v>
      </c>
    </row>
    <row r="521" spans="1:2" x14ac:dyDescent="0.2">
      <c r="A521" s="22">
        <v>14</v>
      </c>
      <c r="B521" s="44">
        <f>[16]case600FF!$D87</f>
        <v>28.226177695086399</v>
      </c>
    </row>
    <row r="522" spans="1:2" x14ac:dyDescent="0.2">
      <c r="A522" s="22">
        <v>15</v>
      </c>
      <c r="B522" s="44">
        <f>[16]case600FF!$D88</f>
        <v>32.222054912116299</v>
      </c>
    </row>
    <row r="523" spans="1:2" x14ac:dyDescent="0.2">
      <c r="A523" s="22">
        <v>16</v>
      </c>
      <c r="B523" s="44">
        <f>[16]case600FF!$D89</f>
        <v>32.626973639655198</v>
      </c>
    </row>
    <row r="524" spans="1:2" x14ac:dyDescent="0.2">
      <c r="A524" s="22">
        <v>17</v>
      </c>
      <c r="B524" s="44">
        <f>[16]case600FF!$D90</f>
        <v>28.181936287879701</v>
      </c>
    </row>
    <row r="525" spans="1:2" x14ac:dyDescent="0.2">
      <c r="A525" s="22">
        <v>18</v>
      </c>
      <c r="B525" s="44">
        <f>[16]case600FF!$D91</f>
        <v>21.632263474831099</v>
      </c>
    </row>
    <row r="526" spans="1:2" x14ac:dyDescent="0.2">
      <c r="A526" s="22">
        <v>19</v>
      </c>
      <c r="B526" s="44">
        <f>[16]case600FF!$D92</f>
        <v>15.857019112212299</v>
      </c>
    </row>
    <row r="527" spans="1:2" x14ac:dyDescent="0.2">
      <c r="A527" s="22">
        <v>20</v>
      </c>
      <c r="B527" s="44">
        <f>[16]case600FF!$D93</f>
        <v>11.313713536294401</v>
      </c>
    </row>
    <row r="528" spans="1:2" x14ac:dyDescent="0.2">
      <c r="A528" s="22">
        <v>21</v>
      </c>
      <c r="B528" s="44">
        <f>[16]case600FF!$D94</f>
        <v>7.0109483595736002</v>
      </c>
    </row>
    <row r="529" spans="1:4" x14ac:dyDescent="0.2">
      <c r="A529" s="22">
        <v>22</v>
      </c>
      <c r="B529" s="44">
        <f>[16]case600FF!$D95</f>
        <v>3.54648333418295</v>
      </c>
    </row>
    <row r="530" spans="1:4" x14ac:dyDescent="0.2">
      <c r="A530" s="22">
        <v>23</v>
      </c>
      <c r="B530" s="44">
        <f>[16]case600FF!$D96</f>
        <v>0.59123431768447898</v>
      </c>
    </row>
    <row r="531" spans="1:4" x14ac:dyDescent="0.2">
      <c r="A531" s="22">
        <v>24</v>
      </c>
      <c r="B531" s="44">
        <f>[16]case600FF!$D97</f>
        <v>-1.72833101086643</v>
      </c>
    </row>
    <row r="532" spans="1:4" x14ac:dyDescent="0.2">
      <c r="A532" s="39" t="s">
        <v>234</v>
      </c>
      <c r="B532" s="39" t="s">
        <v>234</v>
      </c>
      <c r="C532" s="39" t="s">
        <v>234</v>
      </c>
      <c r="D532" s="39" t="s">
        <v>234</v>
      </c>
    </row>
    <row r="541" spans="1:4" x14ac:dyDescent="0.2">
      <c r="A541" s="22" t="s">
        <v>253</v>
      </c>
    </row>
    <row r="542" spans="1:4" x14ac:dyDescent="0.2">
      <c r="A542" s="22" t="s">
        <v>256</v>
      </c>
    </row>
    <row r="543" spans="1:4" x14ac:dyDescent="0.2">
      <c r="A543" s="22" t="s">
        <v>231</v>
      </c>
    </row>
    <row r="544" spans="1:4" x14ac:dyDescent="0.2">
      <c r="A544" s="22" t="s">
        <v>178</v>
      </c>
      <c r="B544" s="35"/>
    </row>
    <row r="545" spans="1:4" x14ac:dyDescent="0.2">
      <c r="A545" s="22" t="s">
        <v>179</v>
      </c>
      <c r="B545" s="35"/>
    </row>
    <row r="546" spans="1:4" x14ac:dyDescent="0.2">
      <c r="A546" s="22" t="s">
        <v>249</v>
      </c>
      <c r="B546" s="22" t="s">
        <v>255</v>
      </c>
    </row>
    <row r="547" spans="1:4" x14ac:dyDescent="0.2">
      <c r="A547" s="39" t="s">
        <v>234</v>
      </c>
      <c r="B547" s="39" t="s">
        <v>234</v>
      </c>
      <c r="C547" s="39" t="s">
        <v>234</v>
      </c>
      <c r="D547" s="39" t="s">
        <v>234</v>
      </c>
    </row>
    <row r="548" spans="1:4" x14ac:dyDescent="0.2">
      <c r="A548" s="22">
        <v>1</v>
      </c>
      <c r="B548" s="44">
        <f>[17]case900FF!$D74</f>
        <v>0.71165814258956595</v>
      </c>
    </row>
    <row r="549" spans="1:4" x14ac:dyDescent="0.2">
      <c r="A549" s="22">
        <v>2</v>
      </c>
      <c r="B549" s="44">
        <f>[17]case900FF!$D75</f>
        <v>5.2723650578857501E-2</v>
      </c>
    </row>
    <row r="550" spans="1:4" x14ac:dyDescent="0.2">
      <c r="A550" s="22">
        <v>3</v>
      </c>
      <c r="B550" s="44">
        <f>[17]case900FF!$D76</f>
        <v>-0.47289999402493399</v>
      </c>
    </row>
    <row r="551" spans="1:4" x14ac:dyDescent="0.2">
      <c r="A551" s="22">
        <v>4</v>
      </c>
      <c r="B551" s="44">
        <f>[17]case900FF!$D77</f>
        <v>-0.94974599223747302</v>
      </c>
    </row>
    <row r="552" spans="1:4" x14ac:dyDescent="0.2">
      <c r="A552" s="22">
        <v>5</v>
      </c>
      <c r="B552" s="44">
        <f>[17]case900FF!$D78</f>
        <v>-1.4586436245352301</v>
      </c>
    </row>
    <row r="553" spans="1:4" x14ac:dyDescent="0.2">
      <c r="A553" s="22">
        <v>6</v>
      </c>
      <c r="B553" s="44">
        <f>[17]case900FF!$D79</f>
        <v>-1.9289953929288099</v>
      </c>
    </row>
    <row r="554" spans="1:4" x14ac:dyDescent="0.2">
      <c r="A554" s="22">
        <v>7</v>
      </c>
      <c r="B554" s="44">
        <f>[17]case900FF!$D80</f>
        <v>-2.3889990933018099</v>
      </c>
    </row>
    <row r="555" spans="1:4" x14ac:dyDescent="0.2">
      <c r="A555" s="22">
        <v>8</v>
      </c>
      <c r="B555" s="44">
        <f>[17]case900FF!$D81</f>
        <v>-2.6030415139750298</v>
      </c>
    </row>
    <row r="556" spans="1:4" x14ac:dyDescent="0.2">
      <c r="A556" s="22">
        <v>9</v>
      </c>
      <c r="B556" s="44">
        <f>[17]case900FF!$D82</f>
        <v>-1.5848322211611501</v>
      </c>
    </row>
    <row r="557" spans="1:4" x14ac:dyDescent="0.2">
      <c r="A557" s="22">
        <v>10</v>
      </c>
      <c r="B557" s="44">
        <f>[17]case900FF!$D83</f>
        <v>0.15759498973028499</v>
      </c>
    </row>
    <row r="558" spans="1:4" x14ac:dyDescent="0.2">
      <c r="A558" s="22">
        <v>11</v>
      </c>
      <c r="B558" s="44">
        <f>[17]case900FF!$D84</f>
        <v>3.0251011570165902</v>
      </c>
    </row>
    <row r="559" spans="1:4" x14ac:dyDescent="0.2">
      <c r="A559" s="22">
        <v>12</v>
      </c>
      <c r="B559" s="44">
        <f>[17]case900FF!$D85</f>
        <v>5.52801032088722</v>
      </c>
    </row>
    <row r="560" spans="1:4" x14ac:dyDescent="0.2">
      <c r="A560" s="22">
        <v>13</v>
      </c>
      <c r="B560" s="44">
        <f>[17]case900FF!$D86</f>
        <v>7.5726465827919904</v>
      </c>
    </row>
    <row r="561" spans="1:4" x14ac:dyDescent="0.2">
      <c r="A561" s="22">
        <v>14</v>
      </c>
      <c r="B561" s="44">
        <f>[17]case900FF!$D87</f>
        <v>9.2420884434979893</v>
      </c>
    </row>
    <row r="562" spans="1:4" x14ac:dyDescent="0.2">
      <c r="A562" s="22">
        <v>15</v>
      </c>
      <c r="B562" s="44">
        <f>[17]case900FF!$D88</f>
        <v>10.0950028899454</v>
      </c>
    </row>
    <row r="563" spans="1:4" x14ac:dyDescent="0.2">
      <c r="A563" s="22">
        <v>16</v>
      </c>
      <c r="B563" s="44">
        <f>[17]case900FF!$D89</f>
        <v>9.8724701693414705</v>
      </c>
    </row>
    <row r="564" spans="1:4" x14ac:dyDescent="0.2">
      <c r="A564" s="22">
        <v>17</v>
      </c>
      <c r="B564" s="44">
        <f>[17]case900FF!$D90</f>
        <v>8.3858559511184705</v>
      </c>
    </row>
    <row r="565" spans="1:4" x14ac:dyDescent="0.2">
      <c r="A565" s="22">
        <v>18</v>
      </c>
      <c r="B565" s="44">
        <f>[17]case900FF!$D91</f>
        <v>6.8868707451391602</v>
      </c>
    </row>
    <row r="566" spans="1:4" x14ac:dyDescent="0.2">
      <c r="A566" s="22">
        <v>19</v>
      </c>
      <c r="B566" s="44">
        <f>[17]case900FF!$D92</f>
        <v>5.89703647112424</v>
      </c>
    </row>
    <row r="567" spans="1:4" x14ac:dyDescent="0.2">
      <c r="A567" s="22">
        <v>20</v>
      </c>
      <c r="B567" s="44">
        <f>[17]case900FF!$D93</f>
        <v>5.1978143894912199</v>
      </c>
    </row>
    <row r="568" spans="1:4" x14ac:dyDescent="0.2">
      <c r="A568" s="22">
        <v>21</v>
      </c>
      <c r="B568" s="44">
        <f>[17]case900FF!$D94</f>
        <v>4.5145486870844804</v>
      </c>
    </row>
    <row r="569" spans="1:4" x14ac:dyDescent="0.2">
      <c r="A569" s="22">
        <v>22</v>
      </c>
      <c r="B569" s="44">
        <f>[17]case900FF!$D95</f>
        <v>3.8902660417100998</v>
      </c>
    </row>
    <row r="570" spans="1:4" x14ac:dyDescent="0.2">
      <c r="A570" s="22">
        <v>23</v>
      </c>
      <c r="B570" s="44">
        <f>[17]case900FF!$D96</f>
        <v>3.3942215990236999</v>
      </c>
    </row>
    <row r="571" spans="1:4" x14ac:dyDescent="0.2">
      <c r="A571" s="22">
        <v>24</v>
      </c>
      <c r="B571" s="44">
        <f>[17]case900FF!$D97</f>
        <v>2.9061197439465598</v>
      </c>
    </row>
    <row r="572" spans="1:4" x14ac:dyDescent="0.2">
      <c r="A572" s="39" t="s">
        <v>234</v>
      </c>
      <c r="B572" s="39" t="s">
        <v>234</v>
      </c>
      <c r="C572" s="39" t="s">
        <v>234</v>
      </c>
      <c r="D572" s="39" t="s">
        <v>234</v>
      </c>
    </row>
    <row r="581" spans="1:4" x14ac:dyDescent="0.2">
      <c r="A581" s="22" t="s">
        <v>253</v>
      </c>
    </row>
    <row r="582" spans="1:4" x14ac:dyDescent="0.2">
      <c r="A582" s="22" t="s">
        <v>257</v>
      </c>
    </row>
    <row r="583" spans="1:4" x14ac:dyDescent="0.2">
      <c r="A583" s="22" t="s">
        <v>231</v>
      </c>
    </row>
    <row r="584" spans="1:4" x14ac:dyDescent="0.2">
      <c r="A584" s="22" t="s">
        <v>178</v>
      </c>
      <c r="B584" s="35"/>
    </row>
    <row r="585" spans="1:4" x14ac:dyDescent="0.2">
      <c r="A585" s="22" t="s">
        <v>179</v>
      </c>
      <c r="B585" s="35"/>
    </row>
    <row r="586" spans="1:4" x14ac:dyDescent="0.2">
      <c r="A586" s="22" t="s">
        <v>249</v>
      </c>
      <c r="B586" s="22" t="s">
        <v>255</v>
      </c>
    </row>
    <row r="587" spans="1:4" x14ac:dyDescent="0.2">
      <c r="A587" s="39" t="s">
        <v>234</v>
      </c>
      <c r="B587" s="39" t="s">
        <v>234</v>
      </c>
      <c r="C587" s="39" t="s">
        <v>234</v>
      </c>
      <c r="D587" s="39" t="s">
        <v>234</v>
      </c>
    </row>
    <row r="588" spans="1:4" x14ac:dyDescent="0.2">
      <c r="A588" s="22">
        <v>1</v>
      </c>
      <c r="B588" s="44">
        <f>[18]case650FF!$D4970</f>
        <v>22.818294619379198</v>
      </c>
    </row>
    <row r="589" spans="1:4" x14ac:dyDescent="0.2">
      <c r="A589" s="22">
        <v>2</v>
      </c>
      <c r="B589" s="44">
        <f>[18]case650FF!$D4971</f>
        <v>21.316858364950299</v>
      </c>
    </row>
    <row r="590" spans="1:4" x14ac:dyDescent="0.2">
      <c r="A590" s="22">
        <v>3</v>
      </c>
      <c r="B590" s="44">
        <f>[18]case650FF!$D4972</f>
        <v>20.357130277171201</v>
      </c>
    </row>
    <row r="591" spans="1:4" x14ac:dyDescent="0.2">
      <c r="A591" s="22">
        <v>4</v>
      </c>
      <c r="B591" s="44">
        <f>[18]case650FF!$D4973</f>
        <v>19.538654255618301</v>
      </c>
    </row>
    <row r="592" spans="1:4" x14ac:dyDescent="0.2">
      <c r="A592" s="22">
        <v>5</v>
      </c>
      <c r="B592" s="44">
        <f>[18]case650FF!$D4974</f>
        <v>19.0152811589106</v>
      </c>
    </row>
    <row r="593" spans="1:2" x14ac:dyDescent="0.2">
      <c r="A593" s="22">
        <v>6</v>
      </c>
      <c r="B593" s="44">
        <f>[18]case650FF!$D4975</f>
        <v>19.335434344508499</v>
      </c>
    </row>
    <row r="594" spans="1:2" x14ac:dyDescent="0.2">
      <c r="A594" s="22">
        <v>7</v>
      </c>
      <c r="B594" s="44">
        <f>[18]case650FF!$D4976</f>
        <v>21.406505634367999</v>
      </c>
    </row>
    <row r="595" spans="1:2" x14ac:dyDescent="0.2">
      <c r="A595" s="22">
        <v>8</v>
      </c>
      <c r="B595" s="44">
        <f>[18]case650FF!$D4977</f>
        <v>23.814446012997099</v>
      </c>
    </row>
    <row r="596" spans="1:2" x14ac:dyDescent="0.2">
      <c r="A596" s="22">
        <v>9</v>
      </c>
      <c r="B596" s="44">
        <f>[18]case650FF!$D4978</f>
        <v>26.727151117407399</v>
      </c>
    </row>
    <row r="597" spans="1:2" x14ac:dyDescent="0.2">
      <c r="A597" s="22">
        <v>10</v>
      </c>
      <c r="B597" s="44">
        <f>[18]case650FF!$D4979</f>
        <v>31.0817810461227</v>
      </c>
    </row>
    <row r="598" spans="1:2" x14ac:dyDescent="0.2">
      <c r="A598" s="22">
        <v>11</v>
      </c>
      <c r="B598" s="44">
        <f>[18]case650FF!$D4980</f>
        <v>35.198015301199</v>
      </c>
    </row>
    <row r="599" spans="1:2" x14ac:dyDescent="0.2">
      <c r="A599" s="22">
        <v>12</v>
      </c>
      <c r="B599" s="44">
        <f>[18]case650FF!$D4981</f>
        <v>39.857821814807401</v>
      </c>
    </row>
    <row r="600" spans="1:2" x14ac:dyDescent="0.2">
      <c r="A600" s="22">
        <v>13</v>
      </c>
      <c r="B600" s="44">
        <f>[18]case650FF!$D4982</f>
        <v>43.927646381423799</v>
      </c>
    </row>
    <row r="601" spans="1:2" x14ac:dyDescent="0.2">
      <c r="A601" s="22">
        <v>14</v>
      </c>
      <c r="B601" s="44">
        <f>[18]case650FF!$D4983</f>
        <v>46.959045517019902</v>
      </c>
    </row>
    <row r="602" spans="1:2" x14ac:dyDescent="0.2">
      <c r="A602" s="22">
        <v>15</v>
      </c>
      <c r="B602" s="44">
        <f>[18]case650FF!$D4984</f>
        <v>48.526064336880196</v>
      </c>
    </row>
    <row r="603" spans="1:2" x14ac:dyDescent="0.2">
      <c r="A603" s="22">
        <v>16</v>
      </c>
      <c r="B603" s="44">
        <f>[18]case650FF!$D4985</f>
        <v>48.652444322795198</v>
      </c>
    </row>
    <row r="604" spans="1:2" x14ac:dyDescent="0.2">
      <c r="A604" s="22">
        <v>17</v>
      </c>
      <c r="B604" s="44">
        <f>[18]case650FF!$D4986</f>
        <v>47.939700635992502</v>
      </c>
    </row>
    <row r="605" spans="1:2" x14ac:dyDescent="0.2">
      <c r="A605" s="22">
        <v>18</v>
      </c>
      <c r="B605" s="44">
        <f>[18]case650FF!$D4987</f>
        <v>46.541297060835099</v>
      </c>
    </row>
    <row r="606" spans="1:2" x14ac:dyDescent="0.2">
      <c r="A606" s="22">
        <v>19</v>
      </c>
      <c r="B606" s="44">
        <f>[18]case650FF!$D4988</f>
        <v>35.227583298902097</v>
      </c>
    </row>
    <row r="607" spans="1:2" x14ac:dyDescent="0.2">
      <c r="A607" s="22">
        <v>20</v>
      </c>
      <c r="B607" s="44">
        <f>[18]case650FF!$D4989</f>
        <v>31.734734871883902</v>
      </c>
    </row>
    <row r="608" spans="1:2" x14ac:dyDescent="0.2">
      <c r="A608" s="22">
        <v>21</v>
      </c>
      <c r="B608" s="44">
        <f>[18]case650FF!$D4990</f>
        <v>29.3177004797822</v>
      </c>
    </row>
    <row r="609" spans="1:4" x14ac:dyDescent="0.2">
      <c r="A609" s="22">
        <v>22</v>
      </c>
      <c r="B609" s="44">
        <f>[18]case650FF!$D4991</f>
        <v>27.186348424332799</v>
      </c>
    </row>
    <row r="610" spans="1:4" x14ac:dyDescent="0.2">
      <c r="A610" s="22">
        <v>23</v>
      </c>
      <c r="B610" s="44">
        <f>[18]case650FF!$D4992</f>
        <v>25.781136979147298</v>
      </c>
    </row>
    <row r="611" spans="1:4" x14ac:dyDescent="0.2">
      <c r="A611" s="22">
        <v>24</v>
      </c>
      <c r="B611" s="44">
        <f>[18]case650FF!$D4993</f>
        <v>24.475530447028198</v>
      </c>
    </row>
    <row r="612" spans="1:4" x14ac:dyDescent="0.2">
      <c r="A612" s="39" t="s">
        <v>234</v>
      </c>
      <c r="B612" s="39" t="s">
        <v>234</v>
      </c>
      <c r="C612" s="39" t="s">
        <v>234</v>
      </c>
      <c r="D612" s="39" t="s">
        <v>234</v>
      </c>
    </row>
    <row r="621" spans="1:4" x14ac:dyDescent="0.2">
      <c r="A621" s="22" t="s">
        <v>253</v>
      </c>
    </row>
    <row r="622" spans="1:4" x14ac:dyDescent="0.2">
      <c r="A622" s="22" t="s">
        <v>258</v>
      </c>
    </row>
    <row r="623" spans="1:4" x14ac:dyDescent="0.2">
      <c r="A623" s="22" t="s">
        <v>231</v>
      </c>
    </row>
    <row r="624" spans="1:4" x14ac:dyDescent="0.2">
      <c r="A624" s="22" t="s">
        <v>178</v>
      </c>
      <c r="B624" s="35"/>
    </row>
    <row r="625" spans="1:4" x14ac:dyDescent="0.2">
      <c r="A625" s="22" t="s">
        <v>179</v>
      </c>
      <c r="B625" s="35"/>
    </row>
    <row r="626" spans="1:4" x14ac:dyDescent="0.2">
      <c r="A626" s="22" t="s">
        <v>249</v>
      </c>
      <c r="B626" s="22" t="s">
        <v>255</v>
      </c>
    </row>
    <row r="627" spans="1:4" x14ac:dyDescent="0.2">
      <c r="A627" s="39" t="s">
        <v>234</v>
      </c>
      <c r="B627" s="39" t="s">
        <v>234</v>
      </c>
      <c r="C627" s="39" t="s">
        <v>234</v>
      </c>
      <c r="D627" s="39" t="s">
        <v>234</v>
      </c>
    </row>
    <row r="628" spans="1:4" x14ac:dyDescent="0.2">
      <c r="A628" s="22">
        <v>1</v>
      </c>
      <c r="B628" s="44">
        <f>[19]case950FF!$D4970</f>
        <v>24.569152673564201</v>
      </c>
    </row>
    <row r="629" spans="1:4" x14ac:dyDescent="0.2">
      <c r="A629" s="22">
        <v>2</v>
      </c>
      <c r="B629" s="44">
        <f>[19]case950FF!$D4971</f>
        <v>23.655757074120402</v>
      </c>
    </row>
    <row r="630" spans="1:4" x14ac:dyDescent="0.2">
      <c r="A630" s="22">
        <v>3</v>
      </c>
      <c r="B630" s="44">
        <f>[19]case950FF!$D4972</f>
        <v>23.043860792205599</v>
      </c>
    </row>
    <row r="631" spans="1:4" x14ac:dyDescent="0.2">
      <c r="A631" s="22">
        <v>4</v>
      </c>
      <c r="B631" s="44">
        <f>[19]case950FF!$D4973</f>
        <v>22.431797931601199</v>
      </c>
    </row>
    <row r="632" spans="1:4" x14ac:dyDescent="0.2">
      <c r="A632" s="22">
        <v>5</v>
      </c>
      <c r="B632" s="44">
        <f>[19]case950FF!$D4974</f>
        <v>22.0046078463211</v>
      </c>
    </row>
    <row r="633" spans="1:4" x14ac:dyDescent="0.2">
      <c r="A633" s="22">
        <v>6</v>
      </c>
      <c r="B633" s="44">
        <f>[19]case950FF!$D4975</f>
        <v>22.166256137292301</v>
      </c>
    </row>
    <row r="634" spans="1:4" x14ac:dyDescent="0.2">
      <c r="A634" s="22">
        <v>7</v>
      </c>
      <c r="B634" s="44">
        <f>[19]case950FF!$D4976</f>
        <v>23.565049487403702</v>
      </c>
    </row>
    <row r="635" spans="1:4" x14ac:dyDescent="0.2">
      <c r="A635" s="22">
        <v>8</v>
      </c>
      <c r="B635" s="44">
        <f>[19]case950FF!$D4977</f>
        <v>26.760567499089401</v>
      </c>
    </row>
    <row r="636" spans="1:4" x14ac:dyDescent="0.2">
      <c r="A636" s="22">
        <v>9</v>
      </c>
      <c r="B636" s="44">
        <f>[19]case950FF!$D4978</f>
        <v>28.562660260765899</v>
      </c>
    </row>
    <row r="637" spans="1:4" x14ac:dyDescent="0.2">
      <c r="A637" s="22">
        <v>10</v>
      </c>
      <c r="B637" s="44">
        <f>[19]case950FF!$D4979</f>
        <v>30.027834531064698</v>
      </c>
    </row>
    <row r="638" spans="1:4" x14ac:dyDescent="0.2">
      <c r="A638" s="22">
        <v>11</v>
      </c>
      <c r="B638" s="44">
        <f>[19]case950FF!$D4980</f>
        <v>31.224785937815</v>
      </c>
    </row>
    <row r="639" spans="1:4" x14ac:dyDescent="0.2">
      <c r="A639" s="22">
        <v>12</v>
      </c>
      <c r="B639" s="44">
        <f>[19]case950FF!$D4981</f>
        <v>32.3517529640296</v>
      </c>
    </row>
    <row r="640" spans="1:4" x14ac:dyDescent="0.2">
      <c r="A640" s="22">
        <v>13</v>
      </c>
      <c r="B640" s="44">
        <f>[19]case950FF!$D4982</f>
        <v>33.364748450552298</v>
      </c>
    </row>
    <row r="641" spans="1:4" x14ac:dyDescent="0.2">
      <c r="A641" s="22">
        <v>14</v>
      </c>
      <c r="B641" s="44">
        <f>[19]case950FF!$D4983</f>
        <v>34.021748144447102</v>
      </c>
    </row>
    <row r="642" spans="1:4" x14ac:dyDescent="0.2">
      <c r="A642" s="22">
        <v>15</v>
      </c>
      <c r="B642" s="44">
        <f>[19]case950FF!$D4984</f>
        <v>34.360749516026402</v>
      </c>
    </row>
    <row r="643" spans="1:4" x14ac:dyDescent="0.2">
      <c r="A643" s="22">
        <v>16</v>
      </c>
      <c r="B643" s="44">
        <f>[19]case950FF!$D4985</f>
        <v>34.401584988783597</v>
      </c>
    </row>
    <row r="644" spans="1:4" x14ac:dyDescent="0.2">
      <c r="A644" s="22">
        <v>17</v>
      </c>
      <c r="B644" s="44">
        <f>[19]case950FF!$D4986</f>
        <v>34.368277517142403</v>
      </c>
    </row>
    <row r="645" spans="1:4" x14ac:dyDescent="0.2">
      <c r="A645" s="22">
        <v>18</v>
      </c>
      <c r="B645" s="44">
        <f>[19]case950FF!$D4987</f>
        <v>34.085142196588897</v>
      </c>
    </row>
    <row r="646" spans="1:4" x14ac:dyDescent="0.2">
      <c r="A646" s="22">
        <v>19</v>
      </c>
      <c r="B646" s="44">
        <f>[19]case950FF!$D4988</f>
        <v>30.531440745457999</v>
      </c>
    </row>
    <row r="647" spans="1:4" x14ac:dyDescent="0.2">
      <c r="A647" s="22">
        <v>20</v>
      </c>
      <c r="B647" s="44">
        <f>[19]case950FF!$D4989</f>
        <v>29.402422033693799</v>
      </c>
    </row>
    <row r="648" spans="1:4" x14ac:dyDescent="0.2">
      <c r="A648" s="22">
        <v>21</v>
      </c>
      <c r="B648" s="44">
        <f>[19]case950FF!$D4990</f>
        <v>28.5659467340292</v>
      </c>
    </row>
    <row r="649" spans="1:4" x14ac:dyDescent="0.2">
      <c r="A649" s="22">
        <v>22</v>
      </c>
      <c r="B649" s="44">
        <f>[19]case950FF!$D4991</f>
        <v>27.524100482688201</v>
      </c>
    </row>
    <row r="650" spans="1:4" x14ac:dyDescent="0.2">
      <c r="A650" s="22">
        <v>23</v>
      </c>
      <c r="B650" s="44">
        <f>[19]case950FF!$D4992</f>
        <v>26.8807578436647</v>
      </c>
    </row>
    <row r="651" spans="1:4" x14ac:dyDescent="0.2">
      <c r="A651" s="22">
        <v>24</v>
      </c>
      <c r="B651" s="44">
        <f>[19]case950FF!$D4993</f>
        <v>26.083832832711</v>
      </c>
    </row>
    <row r="652" spans="1:4" x14ac:dyDescent="0.2">
      <c r="A652" s="39" t="s">
        <v>234</v>
      </c>
      <c r="B652" s="39" t="s">
        <v>234</v>
      </c>
      <c r="C652" s="39" t="s">
        <v>234</v>
      </c>
      <c r="D652" s="39" t="s">
        <v>234</v>
      </c>
    </row>
    <row r="661" spans="1:4" x14ac:dyDescent="0.2">
      <c r="A661" s="22" t="s">
        <v>259</v>
      </c>
    </row>
    <row r="662" spans="1:4" x14ac:dyDescent="0.2">
      <c r="A662" s="22" t="s">
        <v>260</v>
      </c>
    </row>
    <row r="663" spans="1:4" x14ac:dyDescent="0.2">
      <c r="A663" s="22" t="s">
        <v>261</v>
      </c>
    </row>
    <row r="664" spans="1:4" x14ac:dyDescent="0.2">
      <c r="A664" s="22" t="s">
        <v>178</v>
      </c>
      <c r="B664" s="35"/>
    </row>
    <row r="665" spans="1:4" x14ac:dyDescent="0.2">
      <c r="A665" s="22" t="s">
        <v>179</v>
      </c>
      <c r="B665" s="35"/>
    </row>
    <row r="666" spans="1:4" x14ac:dyDescent="0.2">
      <c r="A666" s="22" t="s">
        <v>249</v>
      </c>
      <c r="B666" s="36" t="s">
        <v>262</v>
      </c>
    </row>
    <row r="667" spans="1:4" x14ac:dyDescent="0.2">
      <c r="A667" s="39" t="s">
        <v>234</v>
      </c>
      <c r="B667" s="39" t="s">
        <v>234</v>
      </c>
      <c r="C667" s="39" t="s">
        <v>234</v>
      </c>
      <c r="D667" s="39" t="s">
        <v>234</v>
      </c>
    </row>
    <row r="668" spans="1:4" x14ac:dyDescent="0.2">
      <c r="A668" s="22">
        <v>1</v>
      </c>
      <c r="B668" s="44">
        <f>[3]case600!$B74/1000/3600</f>
        <v>3.5718919159702498</v>
      </c>
    </row>
    <row r="669" spans="1:4" x14ac:dyDescent="0.2">
      <c r="A669" s="22">
        <v>2</v>
      </c>
      <c r="B669" s="44">
        <f>[3]case600!$B75/1000/3600</f>
        <v>3.6912823146831943</v>
      </c>
    </row>
    <row r="670" spans="1:4" x14ac:dyDescent="0.2">
      <c r="A670" s="22">
        <v>3</v>
      </c>
      <c r="B670" s="44">
        <f>[3]case600!$B76/1000/3600</f>
        <v>3.7293830757545838</v>
      </c>
    </row>
    <row r="671" spans="1:4" x14ac:dyDescent="0.2">
      <c r="A671" s="22">
        <v>4</v>
      </c>
      <c r="B671" s="44">
        <f>[3]case600!$B77/1000/3600</f>
        <v>3.7384250499058886</v>
      </c>
    </row>
    <row r="672" spans="1:4" x14ac:dyDescent="0.2">
      <c r="A672" s="22">
        <v>5</v>
      </c>
      <c r="B672" s="44">
        <f>[3]case600!$B78/1000/3600</f>
        <v>3.7500803840701664</v>
      </c>
    </row>
    <row r="673" spans="1:2" x14ac:dyDescent="0.2">
      <c r="A673" s="22">
        <v>6</v>
      </c>
      <c r="B673" s="44">
        <f>[3]case600!$B79/1000/3600</f>
        <v>3.7461864680634163</v>
      </c>
    </row>
    <row r="674" spans="1:2" x14ac:dyDescent="0.2">
      <c r="A674" s="22">
        <v>7</v>
      </c>
      <c r="B674" s="44">
        <f>[3]case600!$B80/1000/3600</f>
        <v>3.7460240370809443</v>
      </c>
    </row>
    <row r="675" spans="1:2" x14ac:dyDescent="0.2">
      <c r="A675" s="22">
        <v>8</v>
      </c>
      <c r="B675" s="44">
        <f>[3]case600!$B81/1000/3600</f>
        <v>3.4483665054121948</v>
      </c>
    </row>
    <row r="676" spans="1:2" x14ac:dyDescent="0.2">
      <c r="A676" s="22">
        <v>9</v>
      </c>
      <c r="B676" s="44">
        <f>[3]case600!$B82/1000/3600</f>
        <v>2.0653208833694223</v>
      </c>
    </row>
    <row r="677" spans="1:2" x14ac:dyDescent="0.2">
      <c r="A677" s="22">
        <v>10</v>
      </c>
      <c r="B677" s="44">
        <f>[3]case600!$B83/1000/3600</f>
        <v>0.58527489051582227</v>
      </c>
    </row>
    <row r="678" spans="1:2" x14ac:dyDescent="0.2">
      <c r="A678" s="22">
        <v>11</v>
      </c>
      <c r="B678" s="44">
        <f>-[3]case600!$C84/1000/3600</f>
        <v>-7.4904697266843609E-2</v>
      </c>
    </row>
    <row r="679" spans="1:2" x14ac:dyDescent="0.2">
      <c r="A679" s="22">
        <v>12</v>
      </c>
      <c r="B679" s="44">
        <f>-[3]case600!$C85/1000/3600</f>
        <v>-1.96032724417015</v>
      </c>
    </row>
    <row r="680" spans="1:2" x14ac:dyDescent="0.2">
      <c r="A680" s="22">
        <v>13</v>
      </c>
      <c r="B680" s="44">
        <f>-[3]case600!$C86/1000/3600</f>
        <v>-3.3405775245010001</v>
      </c>
    </row>
    <row r="681" spans="1:2" x14ac:dyDescent="0.2">
      <c r="A681" s="22">
        <v>14</v>
      </c>
      <c r="B681" s="44">
        <f>-[3]case600!$C87/1000/3600</f>
        <v>-3.6096764607999723</v>
      </c>
    </row>
    <row r="682" spans="1:2" x14ac:dyDescent="0.2">
      <c r="A682" s="22">
        <v>15</v>
      </c>
      <c r="B682" s="44">
        <f>-[3]case600!$C88/1000/3600</f>
        <v>-2.9618560029790002</v>
      </c>
    </row>
    <row r="683" spans="1:2" x14ac:dyDescent="0.2">
      <c r="A683" s="22">
        <v>16</v>
      </c>
      <c r="B683" s="44">
        <f>-[3]case600!$C89/1000/3600</f>
        <v>-1.460959279774525</v>
      </c>
    </row>
    <row r="684" spans="1:2" x14ac:dyDescent="0.2">
      <c r="A684" s="22">
        <v>17</v>
      </c>
      <c r="B684" s="44">
        <f>-[3]case600!$C90/1000/3600</f>
        <v>-1.357117491320514E-2</v>
      </c>
    </row>
    <row r="685" spans="1:2" x14ac:dyDescent="0.2">
      <c r="A685" s="22">
        <v>18</v>
      </c>
      <c r="B685" s="44">
        <f>[3]case600!$B91/1000/3600</f>
        <v>0.4397112537317111</v>
      </c>
    </row>
    <row r="686" spans="1:2" x14ac:dyDescent="0.2">
      <c r="A686" s="22">
        <v>19</v>
      </c>
      <c r="B686" s="44">
        <f>[3]case600!$B92/1000/3600</f>
        <v>1.8393265740601306</v>
      </c>
    </row>
    <row r="687" spans="1:2" x14ac:dyDescent="0.2">
      <c r="A687" s="22">
        <v>20</v>
      </c>
      <c r="B687" s="44">
        <f>[3]case600!$B93/1000/3600</f>
        <v>2.5740518427067531</v>
      </c>
    </row>
    <row r="688" spans="1:2" x14ac:dyDescent="0.2">
      <c r="A688" s="22">
        <v>21</v>
      </c>
      <c r="B688" s="44">
        <f>[3]case600!$B94/1000/3600</f>
        <v>2.9774852894841386</v>
      </c>
    </row>
    <row r="689" spans="1:4" x14ac:dyDescent="0.2">
      <c r="A689" s="22">
        <v>22</v>
      </c>
      <c r="B689" s="44">
        <f>[3]case600!$B95/1000/3600</f>
        <v>3.1878450955330835</v>
      </c>
    </row>
    <row r="690" spans="1:4" x14ac:dyDescent="0.2">
      <c r="A690" s="22">
        <v>23</v>
      </c>
      <c r="B690" s="44">
        <f>[3]case600!$B96/1000/3600</f>
        <v>3.2456211723895279</v>
      </c>
    </row>
    <row r="691" spans="1:4" x14ac:dyDescent="0.2">
      <c r="A691" s="22">
        <v>24</v>
      </c>
      <c r="B691" s="44">
        <f>[3]case600!$B97/1000/3600</f>
        <v>3.2632867399808885</v>
      </c>
    </row>
    <row r="692" spans="1:4" x14ac:dyDescent="0.2">
      <c r="A692" s="39" t="s">
        <v>234</v>
      </c>
      <c r="B692" s="39" t="s">
        <v>234</v>
      </c>
      <c r="C692" s="39" t="s">
        <v>234</v>
      </c>
      <c r="D692" s="39" t="s">
        <v>234</v>
      </c>
    </row>
    <row r="701" spans="1:4" x14ac:dyDescent="0.2">
      <c r="A701" s="22" t="s">
        <v>259</v>
      </c>
    </row>
    <row r="702" spans="1:4" x14ac:dyDescent="0.2">
      <c r="A702" s="22" t="s">
        <v>263</v>
      </c>
    </row>
    <row r="703" spans="1:4" x14ac:dyDescent="0.2">
      <c r="A703" s="22" t="s">
        <v>261</v>
      </c>
    </row>
    <row r="704" spans="1:4" x14ac:dyDescent="0.2">
      <c r="A704" s="22" t="s">
        <v>178</v>
      </c>
      <c r="B704" s="35"/>
    </row>
    <row r="705" spans="1:4" x14ac:dyDescent="0.2">
      <c r="A705" s="22" t="s">
        <v>179</v>
      </c>
      <c r="B705" s="35"/>
    </row>
    <row r="706" spans="1:4" x14ac:dyDescent="0.2">
      <c r="A706" s="22" t="s">
        <v>249</v>
      </c>
      <c r="B706" s="36" t="s">
        <v>262</v>
      </c>
    </row>
    <row r="707" spans="1:4" x14ac:dyDescent="0.2">
      <c r="A707" s="39" t="s">
        <v>234</v>
      </c>
      <c r="B707" s="39" t="s">
        <v>234</v>
      </c>
      <c r="C707" s="39" t="s">
        <v>234</v>
      </c>
      <c r="D707" s="39" t="s">
        <v>234</v>
      </c>
    </row>
    <row r="708" spans="1:4" x14ac:dyDescent="0.2">
      <c r="A708" s="22">
        <v>1</v>
      </c>
      <c r="B708" s="44">
        <f>-[9]case900!$B74/1000/3600</f>
        <v>-2.684286116260675</v>
      </c>
    </row>
    <row r="709" spans="1:4" x14ac:dyDescent="0.2">
      <c r="A709" s="22">
        <v>2</v>
      </c>
      <c r="B709" s="44">
        <f>-[9]case900!$B75/1000/3600</f>
        <v>-2.828034973985722</v>
      </c>
    </row>
    <row r="710" spans="1:4" x14ac:dyDescent="0.2">
      <c r="A710" s="22">
        <v>3</v>
      </c>
      <c r="B710" s="44">
        <f>-[9]case900!$B76/1000/3600</f>
        <v>-2.9028295347001665</v>
      </c>
    </row>
    <row r="711" spans="1:4" x14ac:dyDescent="0.2">
      <c r="A711" s="22">
        <v>4</v>
      </c>
      <c r="B711" s="44">
        <f>-[9]case900!$B77/1000/3600</f>
        <v>-2.9805622445712499</v>
      </c>
    </row>
    <row r="712" spans="1:4" x14ac:dyDescent="0.2">
      <c r="A712" s="22">
        <v>5</v>
      </c>
      <c r="B712" s="44">
        <f>-[9]case900!$B78/1000/3600</f>
        <v>-3.0584835622409718</v>
      </c>
    </row>
    <row r="713" spans="1:4" x14ac:dyDescent="0.2">
      <c r="A713" s="22">
        <v>6</v>
      </c>
      <c r="B713" s="44">
        <f>-[9]case900!$B79/1000/3600</f>
        <v>-3.1146694102483057</v>
      </c>
    </row>
    <row r="714" spans="1:4" x14ac:dyDescent="0.2">
      <c r="A714" s="22">
        <v>7</v>
      </c>
      <c r="B714" s="44">
        <f>-[9]case900!$B80/1000/3600</f>
        <v>-3.1721787355460278</v>
      </c>
    </row>
    <row r="715" spans="1:4" x14ac:dyDescent="0.2">
      <c r="A715" s="22">
        <v>8</v>
      </c>
      <c r="B715" s="44">
        <f>-[9]case900!$B81/1000/3600</f>
        <v>-3.0553078425678888</v>
      </c>
    </row>
    <row r="716" spans="1:4" x14ac:dyDescent="0.2">
      <c r="A716" s="22">
        <v>9</v>
      </c>
      <c r="B716" s="44">
        <f>-[9]case900!$B82/1000/3600</f>
        <v>-2.4398296370163224</v>
      </c>
    </row>
    <row r="717" spans="1:4" x14ac:dyDescent="0.2">
      <c r="A717" s="22">
        <v>10</v>
      </c>
      <c r="B717" s="44">
        <f>-[9]case900!$B83/1000/3600</f>
        <v>-1.7752106687277749</v>
      </c>
    </row>
    <row r="718" spans="1:4" x14ac:dyDescent="0.2">
      <c r="A718" s="22">
        <v>11</v>
      </c>
      <c r="B718" s="44">
        <f>-[9]case900!$B84/1000/3600</f>
        <v>-0.99331583065749995</v>
      </c>
    </row>
    <row r="719" spans="1:4" x14ac:dyDescent="0.2">
      <c r="A719" s="22">
        <v>12</v>
      </c>
      <c r="B719" s="44">
        <f>-[9]case900!$B85/1000/3600</f>
        <v>-0.27793918411702778</v>
      </c>
    </row>
    <row r="720" spans="1:4" x14ac:dyDescent="0.2">
      <c r="A720" s="22">
        <v>13</v>
      </c>
      <c r="B720" s="44">
        <f>-[9]case900!$B86/1000/3600</f>
        <v>0</v>
      </c>
    </row>
    <row r="721" spans="1:4" x14ac:dyDescent="0.2">
      <c r="A721" s="22">
        <v>14</v>
      </c>
      <c r="B721" s="44">
        <f>-[9]case900!$B87/1000/3600</f>
        <v>0</v>
      </c>
    </row>
    <row r="722" spans="1:4" x14ac:dyDescent="0.2">
      <c r="A722" s="22">
        <v>15</v>
      </c>
      <c r="B722" s="44">
        <f>-[9]case900!$B88/1000/3600</f>
        <v>0</v>
      </c>
    </row>
    <row r="723" spans="1:4" x14ac:dyDescent="0.2">
      <c r="A723" s="22">
        <v>16</v>
      </c>
      <c r="B723" s="44">
        <f>-[9]case900!$B89/1000/3600</f>
        <v>0</v>
      </c>
    </row>
    <row r="724" spans="1:4" x14ac:dyDescent="0.2">
      <c r="A724" s="22">
        <v>17</v>
      </c>
      <c r="B724" s="44">
        <f>-[9]case900!$B90/1000/3600</f>
        <v>-0.13029954669910834</v>
      </c>
    </row>
    <row r="725" spans="1:4" x14ac:dyDescent="0.2">
      <c r="A725" s="22">
        <v>18</v>
      </c>
      <c r="B725" s="44">
        <f>-[9]case900!$B91/1000/3600</f>
        <v>-0.63116451736685009</v>
      </c>
    </row>
    <row r="726" spans="1:4" x14ac:dyDescent="0.2">
      <c r="A726" s="22">
        <v>19</v>
      </c>
      <c r="B726" s="44">
        <f>-[9]case900!$B92/1000/3600</f>
        <v>-0.98784594600207787</v>
      </c>
    </row>
    <row r="727" spans="1:4" x14ac:dyDescent="0.2">
      <c r="A727" s="22">
        <v>20</v>
      </c>
      <c r="B727" s="44">
        <f>-[9]case900!$B93/1000/3600</f>
        <v>-1.2309949663753195</v>
      </c>
    </row>
    <row r="728" spans="1:4" x14ac:dyDescent="0.2">
      <c r="A728" s="22">
        <v>21</v>
      </c>
      <c r="B728" s="44">
        <f>-[9]case900!$B94/1000/3600</f>
        <v>-1.4595117275539666</v>
      </c>
    </row>
    <row r="729" spans="1:4" x14ac:dyDescent="0.2">
      <c r="A729" s="22">
        <v>22</v>
      </c>
      <c r="B729" s="44">
        <f>-[9]case900!$B95/1000/3600</f>
        <v>-1.6430277361061527</v>
      </c>
    </row>
    <row r="730" spans="1:4" x14ac:dyDescent="0.2">
      <c r="A730" s="22">
        <v>23</v>
      </c>
      <c r="B730" s="44">
        <f>-[9]case900!$B96/1000/3600</f>
        <v>-1.755180201282786</v>
      </c>
    </row>
    <row r="731" spans="1:4" x14ac:dyDescent="0.2">
      <c r="A731" s="22">
        <v>24</v>
      </c>
      <c r="B731" s="44">
        <f>-[9]case900!$B97/1000/3600</f>
        <v>-1.8497051326957721</v>
      </c>
    </row>
    <row r="732" spans="1:4" x14ac:dyDescent="0.2">
      <c r="A732" s="39" t="s">
        <v>234</v>
      </c>
      <c r="B732" s="39" t="s">
        <v>234</v>
      </c>
      <c r="C732" s="39" t="s">
        <v>234</v>
      </c>
      <c r="D732" s="39" t="s">
        <v>234</v>
      </c>
    </row>
    <row r="741" spans="1:4" x14ac:dyDescent="0.2">
      <c r="A741" s="22" t="s">
        <v>264</v>
      </c>
    </row>
    <row r="742" spans="1:4" x14ac:dyDescent="0.2">
      <c r="A742" s="22" t="s">
        <v>265</v>
      </c>
    </row>
    <row r="743" spans="1:4" x14ac:dyDescent="0.2">
      <c r="A743" s="22" t="s">
        <v>266</v>
      </c>
    </row>
    <row r="744" spans="1:4" x14ac:dyDescent="0.2">
      <c r="A744" s="22" t="s">
        <v>231</v>
      </c>
    </row>
    <row r="745" spans="1:4" x14ac:dyDescent="0.2">
      <c r="A745" s="22" t="s">
        <v>178</v>
      </c>
      <c r="B745" s="35"/>
    </row>
    <row r="746" spans="1:4" x14ac:dyDescent="0.2">
      <c r="A746" s="22" t="s">
        <v>179</v>
      </c>
      <c r="B746" s="35"/>
    </row>
    <row r="747" spans="1:4" x14ac:dyDescent="0.2">
      <c r="A747" s="22" t="s">
        <v>225</v>
      </c>
      <c r="B747" s="36" t="s">
        <v>267</v>
      </c>
    </row>
    <row r="748" spans="1:4" x14ac:dyDescent="0.2">
      <c r="A748" s="39" t="s">
        <v>234</v>
      </c>
      <c r="B748" s="39" t="s">
        <v>234</v>
      </c>
      <c r="C748" s="39" t="s">
        <v>234</v>
      </c>
      <c r="D748" s="39" t="s">
        <v>234</v>
      </c>
    </row>
    <row r="749" spans="1:4" x14ac:dyDescent="0.2">
      <c r="A749" s="22">
        <v>-50</v>
      </c>
      <c r="B749" s="35">
        <f>[41]Sheet1!$C7</f>
        <v>0</v>
      </c>
    </row>
    <row r="750" spans="1:4" x14ac:dyDescent="0.2">
      <c r="A750" s="22">
        <v>-49</v>
      </c>
      <c r="B750" s="35">
        <f>[41]Sheet1!$C8</f>
        <v>0</v>
      </c>
    </row>
    <row r="751" spans="1:4" x14ac:dyDescent="0.2">
      <c r="A751" s="22">
        <v>-48</v>
      </c>
      <c r="B751" s="35">
        <f>[41]Sheet1!$C9</f>
        <v>0</v>
      </c>
    </row>
    <row r="752" spans="1:4" x14ac:dyDescent="0.2">
      <c r="A752" s="22">
        <v>-47</v>
      </c>
      <c r="B752" s="35">
        <f>[41]Sheet1!$C10</f>
        <v>0</v>
      </c>
    </row>
    <row r="753" spans="1:2" x14ac:dyDescent="0.2">
      <c r="A753" s="22">
        <v>-46</v>
      </c>
      <c r="B753" s="35">
        <f>[41]Sheet1!$C11</f>
        <v>0</v>
      </c>
    </row>
    <row r="754" spans="1:2" x14ac:dyDescent="0.2">
      <c r="A754" s="22">
        <v>-45</v>
      </c>
      <c r="B754" s="35">
        <f>[41]Sheet1!$C12</f>
        <v>0</v>
      </c>
    </row>
    <row r="755" spans="1:2" x14ac:dyDescent="0.2">
      <c r="A755" s="22">
        <v>-44</v>
      </c>
      <c r="B755" s="35">
        <f>[41]Sheet1!$C13</f>
        <v>0</v>
      </c>
    </row>
    <row r="756" spans="1:2" x14ac:dyDescent="0.2">
      <c r="A756" s="22">
        <v>-43</v>
      </c>
      <c r="B756" s="35">
        <f>[41]Sheet1!$C14</f>
        <v>0</v>
      </c>
    </row>
    <row r="757" spans="1:2" x14ac:dyDescent="0.2">
      <c r="A757" s="22">
        <v>-42</v>
      </c>
      <c r="B757" s="35">
        <f>[41]Sheet1!$C15</f>
        <v>0</v>
      </c>
    </row>
    <row r="758" spans="1:2" x14ac:dyDescent="0.2">
      <c r="A758" s="22">
        <v>-41</v>
      </c>
      <c r="B758" s="35">
        <f>[41]Sheet1!$C16</f>
        <v>0</v>
      </c>
    </row>
    <row r="759" spans="1:2" x14ac:dyDescent="0.2">
      <c r="A759" s="22">
        <v>-40</v>
      </c>
      <c r="B759" s="35">
        <f>[41]Sheet1!$C17</f>
        <v>0</v>
      </c>
    </row>
    <row r="760" spans="1:2" x14ac:dyDescent="0.2">
      <c r="A760" s="22">
        <v>-39</v>
      </c>
      <c r="B760" s="35">
        <f>[41]Sheet1!$C18</f>
        <v>0</v>
      </c>
    </row>
    <row r="761" spans="1:2" x14ac:dyDescent="0.2">
      <c r="A761" s="22">
        <v>-38</v>
      </c>
      <c r="B761" s="35">
        <f>[41]Sheet1!$C19</f>
        <v>0</v>
      </c>
    </row>
    <row r="762" spans="1:2" x14ac:dyDescent="0.2">
      <c r="A762" s="22">
        <v>-37</v>
      </c>
      <c r="B762" s="35">
        <f>[41]Sheet1!$C20</f>
        <v>0</v>
      </c>
    </row>
    <row r="763" spans="1:2" x14ac:dyDescent="0.2">
      <c r="A763" s="22">
        <v>-36</v>
      </c>
      <c r="B763" s="35">
        <f>[41]Sheet1!$C21</f>
        <v>0</v>
      </c>
    </row>
    <row r="764" spans="1:2" x14ac:dyDescent="0.2">
      <c r="A764" s="22">
        <v>-35</v>
      </c>
      <c r="B764" s="35">
        <f>[41]Sheet1!$C22</f>
        <v>0</v>
      </c>
    </row>
    <row r="765" spans="1:2" x14ac:dyDescent="0.2">
      <c r="A765" s="22">
        <v>-34</v>
      </c>
      <c r="B765" s="35">
        <f>[41]Sheet1!$C23</f>
        <v>0</v>
      </c>
    </row>
    <row r="766" spans="1:2" x14ac:dyDescent="0.2">
      <c r="A766" s="22">
        <v>-33</v>
      </c>
      <c r="B766" s="35">
        <f>[41]Sheet1!$C24</f>
        <v>0</v>
      </c>
    </row>
    <row r="767" spans="1:2" x14ac:dyDescent="0.2">
      <c r="A767" s="22">
        <v>-32</v>
      </c>
      <c r="B767" s="35">
        <f>[41]Sheet1!$C25</f>
        <v>0</v>
      </c>
    </row>
    <row r="768" spans="1:2" x14ac:dyDescent="0.2">
      <c r="A768" s="22">
        <v>-31</v>
      </c>
      <c r="B768" s="35">
        <f>[41]Sheet1!$C26</f>
        <v>0</v>
      </c>
    </row>
    <row r="769" spans="1:2" x14ac:dyDescent="0.2">
      <c r="A769" s="22">
        <v>-30</v>
      </c>
      <c r="B769" s="35">
        <f>[41]Sheet1!$C27</f>
        <v>0</v>
      </c>
    </row>
    <row r="770" spans="1:2" x14ac:dyDescent="0.2">
      <c r="A770" s="22">
        <v>-29</v>
      </c>
      <c r="B770" s="35">
        <f>[41]Sheet1!$C28</f>
        <v>0</v>
      </c>
    </row>
    <row r="771" spans="1:2" x14ac:dyDescent="0.2">
      <c r="A771" s="22">
        <v>-28</v>
      </c>
      <c r="B771" s="35">
        <f>[41]Sheet1!$C29</f>
        <v>0</v>
      </c>
    </row>
    <row r="772" spans="1:2" x14ac:dyDescent="0.2">
      <c r="A772" s="22">
        <v>-27</v>
      </c>
      <c r="B772" s="35">
        <f>[41]Sheet1!$C30</f>
        <v>0</v>
      </c>
    </row>
    <row r="773" spans="1:2" x14ac:dyDescent="0.2">
      <c r="A773" s="22">
        <v>-26</v>
      </c>
      <c r="B773" s="35">
        <f>[41]Sheet1!$C31</f>
        <v>0</v>
      </c>
    </row>
    <row r="774" spans="1:2" x14ac:dyDescent="0.2">
      <c r="A774" s="22">
        <v>-25</v>
      </c>
      <c r="B774" s="35">
        <f>[41]Sheet1!$C32</f>
        <v>0</v>
      </c>
    </row>
    <row r="775" spans="1:2" x14ac:dyDescent="0.2">
      <c r="A775" s="22">
        <v>-24</v>
      </c>
      <c r="B775" s="35">
        <f>[41]Sheet1!$C33</f>
        <v>0</v>
      </c>
    </row>
    <row r="776" spans="1:2" x14ac:dyDescent="0.2">
      <c r="A776" s="22">
        <v>-23</v>
      </c>
      <c r="B776" s="35">
        <f>[41]Sheet1!$C34</f>
        <v>0</v>
      </c>
    </row>
    <row r="777" spans="1:2" x14ac:dyDescent="0.2">
      <c r="A777" s="22">
        <v>-22</v>
      </c>
      <c r="B777" s="35">
        <f>[41]Sheet1!$C35</f>
        <v>0</v>
      </c>
    </row>
    <row r="778" spans="1:2" x14ac:dyDescent="0.2">
      <c r="A778" s="22">
        <v>-21</v>
      </c>
      <c r="B778" s="35">
        <f>[41]Sheet1!$C36</f>
        <v>0</v>
      </c>
    </row>
    <row r="779" spans="1:2" x14ac:dyDescent="0.2">
      <c r="A779" s="22">
        <v>-20</v>
      </c>
      <c r="B779" s="35">
        <f>[41]Sheet1!$C37</f>
        <v>0</v>
      </c>
    </row>
    <row r="780" spans="1:2" x14ac:dyDescent="0.2">
      <c r="A780" s="22">
        <v>-19</v>
      </c>
      <c r="B780" s="35">
        <f>[41]Sheet1!$C38</f>
        <v>0</v>
      </c>
    </row>
    <row r="781" spans="1:2" x14ac:dyDescent="0.2">
      <c r="A781" s="22">
        <v>-18</v>
      </c>
      <c r="B781" s="35">
        <f>[41]Sheet1!$C39</f>
        <v>0</v>
      </c>
    </row>
    <row r="782" spans="1:2" x14ac:dyDescent="0.2">
      <c r="A782" s="22">
        <v>-17</v>
      </c>
      <c r="B782" s="35">
        <f>[41]Sheet1!$C40</f>
        <v>0</v>
      </c>
    </row>
    <row r="783" spans="1:2" x14ac:dyDescent="0.2">
      <c r="A783" s="22">
        <v>-16</v>
      </c>
      <c r="B783" s="35">
        <f>[41]Sheet1!$C41</f>
        <v>0</v>
      </c>
    </row>
    <row r="784" spans="1:2" x14ac:dyDescent="0.2">
      <c r="A784" s="22">
        <v>-15</v>
      </c>
      <c r="B784" s="35">
        <f>[41]Sheet1!$C42</f>
        <v>0</v>
      </c>
    </row>
    <row r="785" spans="1:2" x14ac:dyDescent="0.2">
      <c r="A785" s="22">
        <v>-14</v>
      </c>
      <c r="B785" s="35">
        <f>[41]Sheet1!$C43</f>
        <v>0</v>
      </c>
    </row>
    <row r="786" spans="1:2" x14ac:dyDescent="0.2">
      <c r="A786" s="22">
        <v>-13</v>
      </c>
      <c r="B786" s="35">
        <f>[41]Sheet1!$C44</f>
        <v>0</v>
      </c>
    </row>
    <row r="787" spans="1:2" x14ac:dyDescent="0.2">
      <c r="A787" s="22">
        <v>-12</v>
      </c>
      <c r="B787" s="35">
        <f>[41]Sheet1!$C45</f>
        <v>0</v>
      </c>
    </row>
    <row r="788" spans="1:2" x14ac:dyDescent="0.2">
      <c r="A788" s="22">
        <v>-11</v>
      </c>
      <c r="B788" s="35">
        <f>[41]Sheet1!$C46</f>
        <v>0</v>
      </c>
    </row>
    <row r="789" spans="1:2" x14ac:dyDescent="0.2">
      <c r="A789" s="22">
        <v>-10</v>
      </c>
      <c r="B789" s="35">
        <f>[41]Sheet1!$C47</f>
        <v>0</v>
      </c>
    </row>
    <row r="790" spans="1:2" x14ac:dyDescent="0.2">
      <c r="A790" s="22">
        <v>-9</v>
      </c>
      <c r="B790" s="35">
        <f>[41]Sheet1!$C48</f>
        <v>0</v>
      </c>
    </row>
    <row r="791" spans="1:2" x14ac:dyDescent="0.2">
      <c r="A791" s="22">
        <v>-8</v>
      </c>
      <c r="B791" s="35">
        <f>[41]Sheet1!$C49</f>
        <v>0</v>
      </c>
    </row>
    <row r="792" spans="1:2" x14ac:dyDescent="0.2">
      <c r="A792" s="22">
        <v>-7</v>
      </c>
      <c r="B792" s="35">
        <f>[41]Sheet1!$C50</f>
        <v>0</v>
      </c>
    </row>
    <row r="793" spans="1:2" x14ac:dyDescent="0.2">
      <c r="A793" s="22">
        <v>-6</v>
      </c>
      <c r="B793" s="35">
        <f>[41]Sheet1!$C51</f>
        <v>0</v>
      </c>
    </row>
    <row r="794" spans="1:2" x14ac:dyDescent="0.2">
      <c r="A794" s="22">
        <v>-5</v>
      </c>
      <c r="B794" s="35">
        <f>[41]Sheet1!$C52</f>
        <v>0</v>
      </c>
    </row>
    <row r="795" spans="1:2" x14ac:dyDescent="0.2">
      <c r="A795" s="22">
        <v>-4</v>
      </c>
      <c r="B795" s="35">
        <f>[41]Sheet1!$C53</f>
        <v>0</v>
      </c>
    </row>
    <row r="796" spans="1:2" x14ac:dyDescent="0.2">
      <c r="A796" s="22">
        <v>-3</v>
      </c>
      <c r="B796" s="35">
        <f>[41]Sheet1!$C54</f>
        <v>2</v>
      </c>
    </row>
    <row r="797" spans="1:2" x14ac:dyDescent="0.2">
      <c r="A797" s="22">
        <v>-2</v>
      </c>
      <c r="B797" s="35">
        <f>[41]Sheet1!$C55</f>
        <v>5</v>
      </c>
    </row>
    <row r="798" spans="1:2" x14ac:dyDescent="0.2">
      <c r="A798" s="22">
        <v>-1</v>
      </c>
      <c r="B798" s="35">
        <f>[41]Sheet1!$C56</f>
        <v>5</v>
      </c>
    </row>
    <row r="799" spans="1:2" x14ac:dyDescent="0.2">
      <c r="A799" s="22">
        <v>0</v>
      </c>
      <c r="B799" s="35">
        <f>[41]Sheet1!$C57</f>
        <v>8</v>
      </c>
    </row>
    <row r="800" spans="1:2" x14ac:dyDescent="0.2">
      <c r="A800" s="22">
        <v>1</v>
      </c>
      <c r="B800" s="35">
        <f>[41]Sheet1!$C58</f>
        <v>15</v>
      </c>
    </row>
    <row r="801" spans="1:2" x14ac:dyDescent="0.2">
      <c r="A801" s="22">
        <v>2</v>
      </c>
      <c r="B801" s="35">
        <f>[41]Sheet1!$C59</f>
        <v>14</v>
      </c>
    </row>
    <row r="802" spans="1:2" x14ac:dyDescent="0.2">
      <c r="A802" s="22">
        <v>3</v>
      </c>
      <c r="B802" s="35">
        <f>[41]Sheet1!$C60</f>
        <v>18</v>
      </c>
    </row>
    <row r="803" spans="1:2" x14ac:dyDescent="0.2">
      <c r="A803" s="22">
        <v>4</v>
      </c>
      <c r="B803" s="35">
        <f>[41]Sheet1!$C61</f>
        <v>16</v>
      </c>
    </row>
    <row r="804" spans="1:2" x14ac:dyDescent="0.2">
      <c r="A804" s="22">
        <v>5</v>
      </c>
      <c r="B804" s="35">
        <f>[41]Sheet1!$C62</f>
        <v>20</v>
      </c>
    </row>
    <row r="805" spans="1:2" x14ac:dyDescent="0.2">
      <c r="A805" s="22">
        <v>6</v>
      </c>
      <c r="B805" s="35">
        <f>[41]Sheet1!$C63</f>
        <v>24</v>
      </c>
    </row>
    <row r="806" spans="1:2" x14ac:dyDescent="0.2">
      <c r="A806" s="22">
        <v>7</v>
      </c>
      <c r="B806" s="35">
        <f>[41]Sheet1!$C64</f>
        <v>30</v>
      </c>
    </row>
    <row r="807" spans="1:2" x14ac:dyDescent="0.2">
      <c r="A807" s="22">
        <v>8</v>
      </c>
      <c r="B807" s="35">
        <f>[41]Sheet1!$C65</f>
        <v>30</v>
      </c>
    </row>
    <row r="808" spans="1:2" x14ac:dyDescent="0.2">
      <c r="A808" s="22">
        <v>9</v>
      </c>
      <c r="B808" s="35">
        <f>[41]Sheet1!$C66</f>
        <v>46</v>
      </c>
    </row>
    <row r="809" spans="1:2" x14ac:dyDescent="0.2">
      <c r="A809" s="22">
        <v>10</v>
      </c>
      <c r="B809" s="35">
        <f>[41]Sheet1!$C67</f>
        <v>53</v>
      </c>
    </row>
    <row r="810" spans="1:2" x14ac:dyDescent="0.2">
      <c r="A810" s="22">
        <v>11</v>
      </c>
      <c r="B810" s="35">
        <f>[41]Sheet1!$C68</f>
        <v>61</v>
      </c>
    </row>
    <row r="811" spans="1:2" x14ac:dyDescent="0.2">
      <c r="A811" s="22">
        <v>12</v>
      </c>
      <c r="B811" s="35">
        <f>[41]Sheet1!$C69</f>
        <v>99</v>
      </c>
    </row>
    <row r="812" spans="1:2" x14ac:dyDescent="0.2">
      <c r="A812" s="22">
        <v>13</v>
      </c>
      <c r="B812" s="35">
        <f>[41]Sheet1!$C70</f>
        <v>119</v>
      </c>
    </row>
    <row r="813" spans="1:2" x14ac:dyDescent="0.2">
      <c r="A813" s="22">
        <v>14</v>
      </c>
      <c r="B813" s="35">
        <f>[41]Sheet1!$C71</f>
        <v>142</v>
      </c>
    </row>
    <row r="814" spans="1:2" x14ac:dyDescent="0.2">
      <c r="A814" s="22">
        <v>15</v>
      </c>
      <c r="B814" s="35">
        <f>[41]Sheet1!$C72</f>
        <v>162</v>
      </c>
    </row>
    <row r="815" spans="1:2" x14ac:dyDescent="0.2">
      <c r="A815" s="22">
        <v>16</v>
      </c>
      <c r="B815" s="35">
        <f>[41]Sheet1!$C73</f>
        <v>185</v>
      </c>
    </row>
    <row r="816" spans="1:2" x14ac:dyDescent="0.2">
      <c r="A816" s="22">
        <v>17</v>
      </c>
      <c r="B816" s="35">
        <f>[41]Sheet1!$C74</f>
        <v>232</v>
      </c>
    </row>
    <row r="817" spans="1:2" x14ac:dyDescent="0.2">
      <c r="A817" s="22">
        <v>18</v>
      </c>
      <c r="B817" s="35">
        <f>[41]Sheet1!$C75</f>
        <v>269</v>
      </c>
    </row>
    <row r="818" spans="1:2" x14ac:dyDescent="0.2">
      <c r="A818" s="22">
        <v>19</v>
      </c>
      <c r="B818" s="35">
        <f>[41]Sheet1!$C76</f>
        <v>320</v>
      </c>
    </row>
    <row r="819" spans="1:2" x14ac:dyDescent="0.2">
      <c r="A819" s="22">
        <v>20</v>
      </c>
      <c r="B819" s="35">
        <f>[41]Sheet1!$C77</f>
        <v>333</v>
      </c>
    </row>
    <row r="820" spans="1:2" x14ac:dyDescent="0.2">
      <c r="A820" s="22">
        <v>21</v>
      </c>
      <c r="B820" s="35">
        <f>[41]Sheet1!$C78</f>
        <v>370</v>
      </c>
    </row>
    <row r="821" spans="1:2" x14ac:dyDescent="0.2">
      <c r="A821" s="22">
        <v>22</v>
      </c>
      <c r="B821" s="35">
        <f>[41]Sheet1!$C79</f>
        <v>383</v>
      </c>
    </row>
    <row r="822" spans="1:2" x14ac:dyDescent="0.2">
      <c r="A822" s="22">
        <v>23</v>
      </c>
      <c r="B822" s="35">
        <f>[41]Sheet1!$C80</f>
        <v>396</v>
      </c>
    </row>
    <row r="823" spans="1:2" x14ac:dyDescent="0.2">
      <c r="A823" s="22">
        <v>24</v>
      </c>
      <c r="B823" s="35">
        <f>[41]Sheet1!$C81</f>
        <v>368</v>
      </c>
    </row>
    <row r="824" spans="1:2" x14ac:dyDescent="0.2">
      <c r="A824" s="22">
        <v>25</v>
      </c>
      <c r="B824" s="35">
        <f>[41]Sheet1!$C82</f>
        <v>417</v>
      </c>
    </row>
    <row r="825" spans="1:2" x14ac:dyDescent="0.2">
      <c r="A825" s="22">
        <v>26</v>
      </c>
      <c r="B825" s="35">
        <f>[41]Sheet1!$C83</f>
        <v>402</v>
      </c>
    </row>
    <row r="826" spans="1:2" x14ac:dyDescent="0.2">
      <c r="A826" s="22">
        <v>27</v>
      </c>
      <c r="B826" s="35">
        <f>[41]Sheet1!$C84</f>
        <v>472</v>
      </c>
    </row>
    <row r="827" spans="1:2" x14ac:dyDescent="0.2">
      <c r="A827" s="22">
        <v>28</v>
      </c>
      <c r="B827" s="35">
        <f>[41]Sheet1!$C85</f>
        <v>436</v>
      </c>
    </row>
    <row r="828" spans="1:2" x14ac:dyDescent="0.2">
      <c r="A828" s="22">
        <v>29</v>
      </c>
      <c r="B828" s="35">
        <f>[41]Sheet1!$C86</f>
        <v>438</v>
      </c>
    </row>
    <row r="829" spans="1:2" x14ac:dyDescent="0.2">
      <c r="A829" s="22">
        <v>30</v>
      </c>
      <c r="B829" s="35">
        <f>[41]Sheet1!$C87</f>
        <v>451</v>
      </c>
    </row>
    <row r="830" spans="1:2" x14ac:dyDescent="0.2">
      <c r="A830" s="22">
        <v>31</v>
      </c>
      <c r="B830" s="35">
        <f>[41]Sheet1!$C88</f>
        <v>403</v>
      </c>
    </row>
    <row r="831" spans="1:2" x14ac:dyDescent="0.2">
      <c r="A831" s="22">
        <v>32</v>
      </c>
      <c r="B831" s="35">
        <f>[41]Sheet1!$C89</f>
        <v>358</v>
      </c>
    </row>
    <row r="832" spans="1:2" x14ac:dyDescent="0.2">
      <c r="A832" s="22">
        <v>33</v>
      </c>
      <c r="B832" s="35">
        <f>[41]Sheet1!$C90</f>
        <v>337</v>
      </c>
    </row>
    <row r="833" spans="1:2" x14ac:dyDescent="0.2">
      <c r="A833" s="22">
        <v>34</v>
      </c>
      <c r="B833" s="35">
        <f>[41]Sheet1!$C91</f>
        <v>320</v>
      </c>
    </row>
    <row r="834" spans="1:2" x14ac:dyDescent="0.2">
      <c r="A834" s="22">
        <v>35</v>
      </c>
      <c r="B834" s="35">
        <f>[41]Sheet1!$C92</f>
        <v>246</v>
      </c>
    </row>
    <row r="835" spans="1:2" x14ac:dyDescent="0.2">
      <c r="A835" s="22">
        <v>36</v>
      </c>
      <c r="B835" s="35">
        <f>[41]Sheet1!$C93</f>
        <v>198</v>
      </c>
    </row>
    <row r="836" spans="1:2" x14ac:dyDescent="0.2">
      <c r="A836" s="22">
        <v>37</v>
      </c>
      <c r="B836" s="35">
        <f>[41]Sheet1!$C94</f>
        <v>189</v>
      </c>
    </row>
    <row r="837" spans="1:2" x14ac:dyDescent="0.2">
      <c r="A837" s="22">
        <v>38</v>
      </c>
      <c r="B837" s="35">
        <f>[41]Sheet1!$C95</f>
        <v>132</v>
      </c>
    </row>
    <row r="838" spans="1:2" x14ac:dyDescent="0.2">
      <c r="A838" s="22">
        <v>39</v>
      </c>
      <c r="B838" s="35">
        <f>[41]Sheet1!$C96</f>
        <v>107</v>
      </c>
    </row>
    <row r="839" spans="1:2" x14ac:dyDescent="0.2">
      <c r="A839" s="22">
        <v>40</v>
      </c>
      <c r="B839" s="35">
        <f>[41]Sheet1!$C97</f>
        <v>71</v>
      </c>
    </row>
    <row r="840" spans="1:2" x14ac:dyDescent="0.2">
      <c r="A840" s="22">
        <v>41</v>
      </c>
      <c r="B840" s="35">
        <f>[41]Sheet1!$C98</f>
        <v>40</v>
      </c>
    </row>
    <row r="841" spans="1:2" x14ac:dyDescent="0.2">
      <c r="A841" s="22">
        <v>42</v>
      </c>
      <c r="B841" s="35">
        <f>[41]Sheet1!$C99</f>
        <v>15</v>
      </c>
    </row>
    <row r="842" spans="1:2" x14ac:dyDescent="0.2">
      <c r="A842" s="22">
        <v>43</v>
      </c>
      <c r="B842" s="35">
        <f>[41]Sheet1!$C100</f>
        <v>3</v>
      </c>
    </row>
    <row r="843" spans="1:2" x14ac:dyDescent="0.2">
      <c r="A843" s="22">
        <v>44</v>
      </c>
      <c r="B843" s="35">
        <f>[41]Sheet1!$C101</f>
        <v>0</v>
      </c>
    </row>
    <row r="844" spans="1:2" x14ac:dyDescent="0.2">
      <c r="A844" s="22">
        <v>45</v>
      </c>
      <c r="B844" s="35">
        <f>[41]Sheet1!$C102</f>
        <v>0</v>
      </c>
    </row>
    <row r="845" spans="1:2" x14ac:dyDescent="0.2">
      <c r="A845" s="22">
        <v>46</v>
      </c>
      <c r="B845" s="35">
        <f>[41]Sheet1!$C103</f>
        <v>0</v>
      </c>
    </row>
    <row r="846" spans="1:2" x14ac:dyDescent="0.2">
      <c r="A846" s="22">
        <v>47</v>
      </c>
      <c r="B846" s="35">
        <f>[41]Sheet1!$C104</f>
        <v>0</v>
      </c>
    </row>
    <row r="847" spans="1:2" x14ac:dyDescent="0.2">
      <c r="A847" s="22">
        <v>48</v>
      </c>
      <c r="B847" s="35">
        <f>[41]Sheet1!$C105</f>
        <v>0</v>
      </c>
    </row>
    <row r="848" spans="1:2" x14ac:dyDescent="0.2">
      <c r="A848" s="22">
        <v>49</v>
      </c>
      <c r="B848" s="35">
        <f>[41]Sheet1!$C106</f>
        <v>0</v>
      </c>
    </row>
    <row r="849" spans="1:2" x14ac:dyDescent="0.2">
      <c r="A849" s="22">
        <v>50</v>
      </c>
      <c r="B849" s="35">
        <f>[41]Sheet1!$C107</f>
        <v>0</v>
      </c>
    </row>
    <row r="850" spans="1:2" x14ac:dyDescent="0.2">
      <c r="A850" s="22">
        <v>51</v>
      </c>
      <c r="B850" s="35">
        <f>[41]Sheet1!$C108</f>
        <v>0</v>
      </c>
    </row>
    <row r="851" spans="1:2" x14ac:dyDescent="0.2">
      <c r="A851" s="22">
        <v>52</v>
      </c>
      <c r="B851" s="35">
        <f>[41]Sheet1!$C109</f>
        <v>0</v>
      </c>
    </row>
    <row r="852" spans="1:2" x14ac:dyDescent="0.2">
      <c r="A852" s="22">
        <v>53</v>
      </c>
      <c r="B852" s="35">
        <f>[41]Sheet1!$C110</f>
        <v>0</v>
      </c>
    </row>
    <row r="853" spans="1:2" x14ac:dyDescent="0.2">
      <c r="A853" s="22">
        <v>54</v>
      </c>
      <c r="B853" s="35">
        <f>[41]Sheet1!$C111</f>
        <v>0</v>
      </c>
    </row>
    <row r="854" spans="1:2" x14ac:dyDescent="0.2">
      <c r="A854" s="22">
        <v>55</v>
      </c>
      <c r="B854" s="35">
        <f>[41]Sheet1!$C112</f>
        <v>0</v>
      </c>
    </row>
    <row r="855" spans="1:2" x14ac:dyDescent="0.2">
      <c r="A855" s="22">
        <v>56</v>
      </c>
      <c r="B855" s="35">
        <f>[41]Sheet1!$C113</f>
        <v>0</v>
      </c>
    </row>
    <row r="856" spans="1:2" x14ac:dyDescent="0.2">
      <c r="A856" s="22">
        <v>57</v>
      </c>
      <c r="B856" s="35">
        <f>[41]Sheet1!$C114</f>
        <v>0</v>
      </c>
    </row>
    <row r="857" spans="1:2" x14ac:dyDescent="0.2">
      <c r="A857" s="22">
        <v>58</v>
      </c>
      <c r="B857" s="35">
        <f>[41]Sheet1!$C115</f>
        <v>0</v>
      </c>
    </row>
    <row r="858" spans="1:2" x14ac:dyDescent="0.2">
      <c r="A858" s="22">
        <v>59</v>
      </c>
      <c r="B858" s="35">
        <f>[41]Sheet1!$C116</f>
        <v>0</v>
      </c>
    </row>
    <row r="859" spans="1:2" x14ac:dyDescent="0.2">
      <c r="A859" s="22">
        <v>60</v>
      </c>
      <c r="B859" s="35">
        <f>[41]Sheet1!$C117</f>
        <v>0</v>
      </c>
    </row>
    <row r="860" spans="1:2" x14ac:dyDescent="0.2">
      <c r="A860" s="22">
        <v>61</v>
      </c>
      <c r="B860" s="35">
        <f>[41]Sheet1!$C118</f>
        <v>0</v>
      </c>
    </row>
    <row r="861" spans="1:2" x14ac:dyDescent="0.2">
      <c r="A861" s="22">
        <v>62</v>
      </c>
      <c r="B861" s="35">
        <f>[41]Sheet1!$C119</f>
        <v>0</v>
      </c>
    </row>
    <row r="862" spans="1:2" x14ac:dyDescent="0.2">
      <c r="A862" s="22">
        <v>63</v>
      </c>
      <c r="B862" s="35">
        <f>[41]Sheet1!$C120</f>
        <v>0</v>
      </c>
    </row>
    <row r="863" spans="1:2" x14ac:dyDescent="0.2">
      <c r="A863" s="22">
        <v>64</v>
      </c>
      <c r="B863" s="35">
        <f>[41]Sheet1!$C121</f>
        <v>0</v>
      </c>
    </row>
    <row r="864" spans="1:2" x14ac:dyDescent="0.2">
      <c r="A864" s="22">
        <v>65</v>
      </c>
      <c r="B864" s="35">
        <f>[41]Sheet1!$C122</f>
        <v>0</v>
      </c>
    </row>
    <row r="865" spans="1:2" x14ac:dyDescent="0.2">
      <c r="A865" s="22">
        <v>66</v>
      </c>
      <c r="B865" s="35">
        <f>[41]Sheet1!$C123</f>
        <v>0</v>
      </c>
    </row>
    <row r="866" spans="1:2" x14ac:dyDescent="0.2">
      <c r="A866" s="22">
        <v>67</v>
      </c>
      <c r="B866" s="35">
        <f>[41]Sheet1!$C124</f>
        <v>0</v>
      </c>
    </row>
    <row r="867" spans="1:2" x14ac:dyDescent="0.2">
      <c r="A867" s="22">
        <v>68</v>
      </c>
      <c r="B867" s="35">
        <f>[41]Sheet1!$C125</f>
        <v>0</v>
      </c>
    </row>
    <row r="868" spans="1:2" x14ac:dyDescent="0.2">
      <c r="A868" s="22">
        <v>69</v>
      </c>
      <c r="B868" s="35">
        <f>[41]Sheet1!$C126</f>
        <v>0</v>
      </c>
    </row>
    <row r="869" spans="1:2" x14ac:dyDescent="0.2">
      <c r="A869" s="22">
        <v>70</v>
      </c>
      <c r="B869" s="35">
        <f>[41]Sheet1!$C127</f>
        <v>0</v>
      </c>
    </row>
    <row r="870" spans="1:2" x14ac:dyDescent="0.2">
      <c r="A870" s="22">
        <v>71</v>
      </c>
      <c r="B870" s="35">
        <f>[41]Sheet1!$C128</f>
        <v>0</v>
      </c>
    </row>
    <row r="871" spans="1:2" x14ac:dyDescent="0.2">
      <c r="A871" s="22">
        <v>72</v>
      </c>
      <c r="B871" s="35">
        <f>[41]Sheet1!$C129</f>
        <v>0</v>
      </c>
    </row>
    <row r="872" spans="1:2" x14ac:dyDescent="0.2">
      <c r="A872" s="22">
        <v>73</v>
      </c>
      <c r="B872" s="35">
        <f>[41]Sheet1!$C130</f>
        <v>0</v>
      </c>
    </row>
    <row r="873" spans="1:2" x14ac:dyDescent="0.2">
      <c r="A873" s="22">
        <v>74</v>
      </c>
      <c r="B873" s="35">
        <f>[41]Sheet1!$C131</f>
        <v>0</v>
      </c>
    </row>
    <row r="874" spans="1:2" x14ac:dyDescent="0.2">
      <c r="A874" s="22">
        <v>75</v>
      </c>
      <c r="B874" s="35">
        <f>[41]Sheet1!$C132</f>
        <v>0</v>
      </c>
    </row>
    <row r="875" spans="1:2" x14ac:dyDescent="0.2">
      <c r="A875" s="22">
        <v>76</v>
      </c>
      <c r="B875" s="35">
        <f>[41]Sheet1!$C133</f>
        <v>0</v>
      </c>
    </row>
    <row r="876" spans="1:2" x14ac:dyDescent="0.2">
      <c r="A876" s="22">
        <v>77</v>
      </c>
      <c r="B876" s="35">
        <f>[41]Sheet1!$C134</f>
        <v>0</v>
      </c>
    </row>
    <row r="877" spans="1:2" x14ac:dyDescent="0.2">
      <c r="A877" s="22">
        <v>78</v>
      </c>
      <c r="B877" s="35">
        <f>[41]Sheet1!$C135</f>
        <v>0</v>
      </c>
    </row>
    <row r="878" spans="1:2" x14ac:dyDescent="0.2">
      <c r="A878" s="22">
        <v>79</v>
      </c>
      <c r="B878" s="35">
        <f>[41]Sheet1!$C136</f>
        <v>0</v>
      </c>
    </row>
    <row r="879" spans="1:2" x14ac:dyDescent="0.2">
      <c r="A879" s="22">
        <v>80</v>
      </c>
      <c r="B879" s="35">
        <f>[41]Sheet1!$C137</f>
        <v>0</v>
      </c>
    </row>
    <row r="880" spans="1:2" x14ac:dyDescent="0.2">
      <c r="A880" s="22">
        <v>81</v>
      </c>
      <c r="B880" s="35">
        <f>[41]Sheet1!$C138</f>
        <v>0</v>
      </c>
    </row>
    <row r="881" spans="1:2" x14ac:dyDescent="0.2">
      <c r="A881" s="22">
        <v>82</v>
      </c>
      <c r="B881" s="35">
        <f>[41]Sheet1!$C139</f>
        <v>0</v>
      </c>
    </row>
    <row r="882" spans="1:2" x14ac:dyDescent="0.2">
      <c r="A882" s="22">
        <v>83</v>
      </c>
      <c r="B882" s="35">
        <f>[41]Sheet1!$C140</f>
        <v>0</v>
      </c>
    </row>
    <row r="883" spans="1:2" x14ac:dyDescent="0.2">
      <c r="A883" s="22">
        <v>84</v>
      </c>
      <c r="B883" s="35">
        <f>[41]Sheet1!$C141</f>
        <v>0</v>
      </c>
    </row>
    <row r="884" spans="1:2" x14ac:dyDescent="0.2">
      <c r="A884" s="22">
        <v>85</v>
      </c>
      <c r="B884" s="35">
        <f>[41]Sheet1!$C142</f>
        <v>0</v>
      </c>
    </row>
    <row r="885" spans="1:2" x14ac:dyDescent="0.2">
      <c r="A885" s="22">
        <v>86</v>
      </c>
      <c r="B885" s="35">
        <f>[41]Sheet1!$C143</f>
        <v>0</v>
      </c>
    </row>
    <row r="886" spans="1:2" x14ac:dyDescent="0.2">
      <c r="A886" s="22">
        <v>87</v>
      </c>
      <c r="B886" s="35">
        <f>[41]Sheet1!$C144</f>
        <v>0</v>
      </c>
    </row>
    <row r="887" spans="1:2" x14ac:dyDescent="0.2">
      <c r="A887" s="22">
        <v>88</v>
      </c>
      <c r="B887" s="35">
        <f>[41]Sheet1!$C145</f>
        <v>0</v>
      </c>
    </row>
    <row r="888" spans="1:2" x14ac:dyDescent="0.2">
      <c r="A888" s="22">
        <v>89</v>
      </c>
      <c r="B888" s="35">
        <f>[41]Sheet1!$C146</f>
        <v>0</v>
      </c>
    </row>
    <row r="889" spans="1:2" x14ac:dyDescent="0.2">
      <c r="A889" s="22">
        <v>90</v>
      </c>
      <c r="B889" s="35">
        <f>[41]Sheet1!$C147</f>
        <v>0</v>
      </c>
    </row>
    <row r="890" spans="1:2" x14ac:dyDescent="0.2">
      <c r="A890" s="22">
        <v>91</v>
      </c>
      <c r="B890" s="35">
        <f>[41]Sheet1!$C148</f>
        <v>0</v>
      </c>
    </row>
    <row r="891" spans="1:2" x14ac:dyDescent="0.2">
      <c r="A891" s="22">
        <v>92</v>
      </c>
      <c r="B891" s="35">
        <f>[41]Sheet1!$C149</f>
        <v>0</v>
      </c>
    </row>
    <row r="892" spans="1:2" x14ac:dyDescent="0.2">
      <c r="A892" s="22">
        <v>93</v>
      </c>
      <c r="B892" s="35">
        <f>[41]Sheet1!$C150</f>
        <v>0</v>
      </c>
    </row>
    <row r="893" spans="1:2" x14ac:dyDescent="0.2">
      <c r="A893" s="22">
        <v>94</v>
      </c>
      <c r="B893" s="35">
        <f>[41]Sheet1!$C151</f>
        <v>0</v>
      </c>
    </row>
    <row r="894" spans="1:2" x14ac:dyDescent="0.2">
      <c r="A894" s="22">
        <v>95</v>
      </c>
      <c r="B894" s="35">
        <f>[41]Sheet1!$C152</f>
        <v>0</v>
      </c>
    </row>
    <row r="895" spans="1:2" x14ac:dyDescent="0.2">
      <c r="A895" s="22">
        <v>96</v>
      </c>
      <c r="B895" s="35">
        <f>[41]Sheet1!$C153</f>
        <v>0</v>
      </c>
    </row>
    <row r="896" spans="1:2" x14ac:dyDescent="0.2">
      <c r="A896" s="22">
        <v>97</v>
      </c>
      <c r="B896" s="35">
        <f>[41]Sheet1!$C154</f>
        <v>0</v>
      </c>
    </row>
    <row r="897" spans="1:4" x14ac:dyDescent="0.2">
      <c r="A897" s="22">
        <v>98</v>
      </c>
      <c r="B897" s="35">
        <f>[41]Sheet1!$C155</f>
        <v>0</v>
      </c>
    </row>
    <row r="898" spans="1:4" x14ac:dyDescent="0.2">
      <c r="A898" s="39" t="s">
        <v>234</v>
      </c>
      <c r="B898" s="39" t="s">
        <v>234</v>
      </c>
      <c r="C898" s="39" t="s">
        <v>234</v>
      </c>
      <c r="D898" s="39" t="s">
        <v>234</v>
      </c>
    </row>
    <row r="899" spans="1:4" x14ac:dyDescent="0.2">
      <c r="A899" s="39" t="s">
        <v>234</v>
      </c>
      <c r="B899" s="39" t="s">
        <v>234</v>
      </c>
      <c r="C899" s="39" t="s">
        <v>234</v>
      </c>
      <c r="D899" s="39" t="s">
        <v>234</v>
      </c>
    </row>
    <row r="900" spans="1:4" x14ac:dyDescent="0.2">
      <c r="A900" s="39" t="s">
        <v>234</v>
      </c>
      <c r="B900" s="39" t="s">
        <v>234</v>
      </c>
      <c r="C900" s="39" t="s">
        <v>234</v>
      </c>
      <c r="D900" s="39" t="s">
        <v>234</v>
      </c>
    </row>
    <row r="901" spans="1:4" x14ac:dyDescent="0.2">
      <c r="A901" s="39" t="s">
        <v>234</v>
      </c>
      <c r="B901" s="39" t="s">
        <v>234</v>
      </c>
      <c r="C901" s="39" t="s">
        <v>234</v>
      </c>
      <c r="D901" s="39" t="s">
        <v>234</v>
      </c>
    </row>
  </sheetData>
  <phoneticPr fontId="6" type="noConversion"/>
  <pageMargins left="0.5" right="0.5" top="0.5" bottom="0.5" header="0.5" footer="0.5"/>
  <pageSetup orientation="portrait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Cases 195</vt:lpstr>
      <vt:lpstr>Cases 600</vt:lpstr>
      <vt:lpstr>Cases 900</vt:lpstr>
      <vt:lpstr>Free Float Cases</vt:lpstr>
      <vt:lpstr>Cases 200</vt:lpstr>
      <vt:lpstr>Cases 300</vt:lpstr>
      <vt:lpstr>Cases 400 &amp; 800</vt:lpstr>
      <vt:lpstr>YD</vt:lpstr>
      <vt:lpstr>'Cases 200'!Print_Area</vt:lpstr>
      <vt:lpstr>'Cases 300'!Print_Area</vt:lpstr>
      <vt:lpstr>'Cases 400 &amp; 800'!Print_Area</vt:lpstr>
      <vt:lpstr>'Cases 600'!Print_Area</vt:lpstr>
      <vt:lpstr>'Cases 900'!Print_Area</vt:lpstr>
      <vt:lpstr>YD!Print_Area</vt:lpstr>
      <vt:lpstr>YD!Print_Area_MI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2006-05-17T21:31:19Z</cp:lastPrinted>
  <dcterms:created xsi:type="dcterms:W3CDTF">1999-10-25T19:41:17Z</dcterms:created>
  <dcterms:modified xsi:type="dcterms:W3CDTF">2015-02-26T17:06:46Z</dcterms:modified>
</cp:coreProperties>
</file>